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4677E255-2CC7-482B-A90D-5717CCCF4A17}" xr6:coauthVersionLast="47" xr6:coauthVersionMax="47" xr10:uidLastSave="{00000000-0000-0000-0000-000000000000}"/>
  <bookViews>
    <workbookView xWindow="4110" yWindow="4110" windowWidth="21600" windowHeight="11295" activeTab="1" xr2:uid="{5115D173-0769-45E6-97A5-BE3ED292126D}"/>
  </bookViews>
  <sheets>
    <sheet name="Bid Recap &amp; Summary" sheetId="2" r:id="rId1"/>
    <sheet name="Worksheet" sheetId="1" r:id="rId2"/>
    <sheet name="Electrical" sheetId="3" r:id="rId3"/>
  </sheets>
  <externalReferences>
    <externalReference r:id="rId4"/>
  </externalReferences>
  <definedNames>
    <definedName name="_xlnm._FilterDatabase" localSheetId="0" hidden="1">'Bid Recap &amp; Summary'!$A$2:$Q$2</definedName>
    <definedName name="_xlnm._FilterDatabase" localSheetId="2" hidden="1">Electrical!$F$1:$F$219</definedName>
    <definedName name="_xlnm._FilterDatabase" localSheetId="1" hidden="1">Worksheet!$A$6:$Q$1125</definedName>
    <definedName name="_xlnm.Print_Area" localSheetId="0">'Bid Recap &amp; Summary'!$A$1:$N$57</definedName>
    <definedName name="_xlnm.Print_Area" localSheetId="2">Electrical!$A$1:$P$219</definedName>
    <definedName name="_xlnm.Print_Area" localSheetId="1">Worksheet!$A$1:$Q$1126</definedName>
    <definedName name="_xlnm.Print_Titles" localSheetId="2">Electrical!$1:$3</definedName>
    <definedName name="_xlnm.Print_Titles" localSheetId="1">Worksheet!$1:$6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95" i="1" l="1"/>
  <c r="F1014" i="1"/>
  <c r="J1029" i="1"/>
  <c r="M1036" i="1"/>
  <c r="J1036" i="1"/>
  <c r="M1020" i="1"/>
  <c r="J1020" i="1"/>
  <c r="M1019" i="1"/>
  <c r="J1019" i="1"/>
  <c r="M1047" i="1"/>
  <c r="J1047" i="1"/>
  <c r="J93" i="1"/>
  <c r="J239" i="1" l="1"/>
  <c r="F1033" i="1" l="1"/>
  <c r="M1029" i="1"/>
  <c r="F486" i="1"/>
  <c r="G180" i="3"/>
  <c r="M180" i="3" s="1"/>
  <c r="G179" i="3"/>
  <c r="J179" i="3" s="1"/>
  <c r="G178" i="3"/>
  <c r="M178" i="3" s="1"/>
  <c r="G177" i="3"/>
  <c r="J177" i="3" s="1"/>
  <c r="G176" i="3"/>
  <c r="M176" i="3" s="1"/>
  <c r="G175" i="3"/>
  <c r="J175" i="3" s="1"/>
  <c r="G170" i="3"/>
  <c r="M170" i="3" s="1"/>
  <c r="G169" i="3"/>
  <c r="J169" i="3" s="1"/>
  <c r="G168" i="3"/>
  <c r="M168" i="3" s="1"/>
  <c r="G167" i="3"/>
  <c r="J167" i="3" s="1"/>
  <c r="G166" i="3"/>
  <c r="M166" i="3" s="1"/>
  <c r="G165" i="3"/>
  <c r="J165" i="3" s="1"/>
  <c r="G164" i="3"/>
  <c r="M164" i="3" s="1"/>
  <c r="G163" i="3"/>
  <c r="J163" i="3" s="1"/>
  <c r="G162" i="3"/>
  <c r="M162" i="3" s="1"/>
  <c r="G161" i="3"/>
  <c r="J161" i="3" s="1"/>
  <c r="G160" i="3"/>
  <c r="M160" i="3" s="1"/>
  <c r="G159" i="3"/>
  <c r="J159" i="3" s="1"/>
  <c r="G158" i="3"/>
  <c r="M158" i="3" s="1"/>
  <c r="G152" i="3"/>
  <c r="J152" i="3" s="1"/>
  <c r="G151" i="3"/>
  <c r="M151" i="3" s="1"/>
  <c r="G150" i="3"/>
  <c r="J150" i="3" s="1"/>
  <c r="G149" i="3"/>
  <c r="M149" i="3" s="1"/>
  <c r="G148" i="3"/>
  <c r="J148" i="3" s="1"/>
  <c r="G147" i="3"/>
  <c r="M147" i="3" s="1"/>
  <c r="I146" i="3"/>
  <c r="G146" i="3"/>
  <c r="M146" i="3" s="1"/>
  <c r="G145" i="3"/>
  <c r="J145" i="3" s="1"/>
  <c r="G144" i="3"/>
  <c r="G138" i="3"/>
  <c r="J138" i="3" s="1"/>
  <c r="G137" i="3"/>
  <c r="G136" i="3"/>
  <c r="J136" i="3" s="1"/>
  <c r="G135" i="3"/>
  <c r="M134" i="3"/>
  <c r="G134" i="3"/>
  <c r="J134" i="3" s="1"/>
  <c r="G133" i="3"/>
  <c r="M132" i="3"/>
  <c r="G132" i="3"/>
  <c r="J132" i="3" s="1"/>
  <c r="E129" i="3"/>
  <c r="G129" i="3" s="1"/>
  <c r="E128" i="3"/>
  <c r="G128" i="3" s="1"/>
  <c r="J128" i="3" s="1"/>
  <c r="E127" i="3"/>
  <c r="G127" i="3" s="1"/>
  <c r="E126" i="3"/>
  <c r="G126" i="3" s="1"/>
  <c r="G125" i="3"/>
  <c r="E124" i="3"/>
  <c r="G124" i="3" s="1"/>
  <c r="E123" i="3"/>
  <c r="G123" i="3" s="1"/>
  <c r="M123" i="3" s="1"/>
  <c r="E122" i="3"/>
  <c r="G122" i="3" s="1"/>
  <c r="E121" i="3"/>
  <c r="G121" i="3" s="1"/>
  <c r="E120" i="3"/>
  <c r="G120" i="3" s="1"/>
  <c r="E119" i="3"/>
  <c r="G119" i="3" s="1"/>
  <c r="M119" i="3" s="1"/>
  <c r="G118" i="3"/>
  <c r="G117" i="3"/>
  <c r="J117" i="3" s="1"/>
  <c r="E116" i="3"/>
  <c r="G116" i="3" s="1"/>
  <c r="E115" i="3"/>
  <c r="G115" i="3" s="1"/>
  <c r="J115" i="3" s="1"/>
  <c r="E114" i="3"/>
  <c r="G114" i="3" s="1"/>
  <c r="G113" i="3"/>
  <c r="M113" i="3" s="1"/>
  <c r="E112" i="3"/>
  <c r="G112" i="3" s="1"/>
  <c r="J112" i="3" s="1"/>
  <c r="E111" i="3"/>
  <c r="G111" i="3" s="1"/>
  <c r="E110" i="3"/>
  <c r="G110" i="3" s="1"/>
  <c r="M110" i="3" s="1"/>
  <c r="E109" i="3"/>
  <c r="G109" i="3" s="1"/>
  <c r="E108" i="3"/>
  <c r="G108" i="3" s="1"/>
  <c r="G107" i="3"/>
  <c r="G104" i="3"/>
  <c r="J104" i="3" s="1"/>
  <c r="G103" i="3"/>
  <c r="E100" i="3"/>
  <c r="G100" i="3" s="1"/>
  <c r="J100" i="3" s="1"/>
  <c r="E99" i="3"/>
  <c r="G99" i="3" s="1"/>
  <c r="M99" i="3" s="1"/>
  <c r="E98" i="3"/>
  <c r="G98" i="3" s="1"/>
  <c r="G97" i="3"/>
  <c r="M97" i="3" s="1"/>
  <c r="G91" i="3"/>
  <c r="J91" i="3" s="1"/>
  <c r="G88" i="3"/>
  <c r="M88" i="3" s="1"/>
  <c r="G87" i="3"/>
  <c r="M87" i="3" s="1"/>
  <c r="G86" i="3"/>
  <c r="M86" i="3" s="1"/>
  <c r="G83" i="3"/>
  <c r="M83" i="3" s="1"/>
  <c r="J82" i="3"/>
  <c r="G82" i="3"/>
  <c r="M82" i="3" s="1"/>
  <c r="G81" i="3"/>
  <c r="M81" i="3" s="1"/>
  <c r="G80" i="3"/>
  <c r="J80" i="3" s="1"/>
  <c r="G79" i="3"/>
  <c r="M79" i="3" s="1"/>
  <c r="J78" i="3"/>
  <c r="G78" i="3"/>
  <c r="M78" i="3" s="1"/>
  <c r="G77" i="3"/>
  <c r="M77" i="3" s="1"/>
  <c r="G76" i="3"/>
  <c r="J76" i="3" s="1"/>
  <c r="G75" i="3"/>
  <c r="M75" i="3" s="1"/>
  <c r="J72" i="3"/>
  <c r="G72" i="3"/>
  <c r="M72" i="3" s="1"/>
  <c r="G71" i="3"/>
  <c r="M71" i="3" s="1"/>
  <c r="G70" i="3"/>
  <c r="M70" i="3" s="1"/>
  <c r="M69" i="3"/>
  <c r="G69" i="3"/>
  <c r="J69" i="3" s="1"/>
  <c r="G68" i="3"/>
  <c r="M68" i="3" s="1"/>
  <c r="G67" i="3"/>
  <c r="M67" i="3" s="1"/>
  <c r="G66" i="3"/>
  <c r="M66" i="3" s="1"/>
  <c r="M65" i="3"/>
  <c r="G65" i="3"/>
  <c r="J65" i="3" s="1"/>
  <c r="J64" i="3"/>
  <c r="G64" i="3"/>
  <c r="M64" i="3" s="1"/>
  <c r="G63" i="3"/>
  <c r="M63" i="3" s="1"/>
  <c r="G62" i="3"/>
  <c r="J62" i="3" s="1"/>
  <c r="M59" i="3"/>
  <c r="J59" i="3"/>
  <c r="G59" i="3"/>
  <c r="J58" i="3"/>
  <c r="G58" i="3"/>
  <c r="M58" i="3" s="1"/>
  <c r="G57" i="3"/>
  <c r="M57" i="3" s="1"/>
  <c r="G54" i="3"/>
  <c r="M54" i="3" s="1"/>
  <c r="G53" i="3"/>
  <c r="J53" i="3" s="1"/>
  <c r="J52" i="3"/>
  <c r="G52" i="3"/>
  <c r="M52" i="3" s="1"/>
  <c r="G51" i="3"/>
  <c r="M51" i="3" s="1"/>
  <c r="G50" i="3"/>
  <c r="M50" i="3" s="1"/>
  <c r="M47" i="3"/>
  <c r="G47" i="3"/>
  <c r="J47" i="3" s="1"/>
  <c r="G46" i="3"/>
  <c r="M46" i="3" s="1"/>
  <c r="G45" i="3"/>
  <c r="M45" i="3" s="1"/>
  <c r="G44" i="3"/>
  <c r="M44" i="3" s="1"/>
  <c r="M43" i="3"/>
  <c r="G43" i="3"/>
  <c r="J43" i="3" s="1"/>
  <c r="G42" i="3"/>
  <c r="M42" i="3" s="1"/>
  <c r="G41" i="3"/>
  <c r="M41" i="3" s="1"/>
  <c r="E38" i="3"/>
  <c r="G38" i="3" s="1"/>
  <c r="E37" i="3"/>
  <c r="G37" i="3" s="1"/>
  <c r="E36" i="3"/>
  <c r="G36" i="3" s="1"/>
  <c r="E35" i="3"/>
  <c r="G35" i="3" s="1"/>
  <c r="G34" i="3"/>
  <c r="E33" i="3"/>
  <c r="G33" i="3" s="1"/>
  <c r="E32" i="3"/>
  <c r="G32" i="3" s="1"/>
  <c r="M32" i="3" s="1"/>
  <c r="E31" i="3"/>
  <c r="G31" i="3" s="1"/>
  <c r="E30" i="3"/>
  <c r="G30" i="3" s="1"/>
  <c r="J30" i="3" s="1"/>
  <c r="E29" i="3"/>
  <c r="G29" i="3" s="1"/>
  <c r="E28" i="3"/>
  <c r="G28" i="3" s="1"/>
  <c r="M28" i="3" s="1"/>
  <c r="G27" i="3"/>
  <c r="E26" i="3"/>
  <c r="G26" i="3" s="1"/>
  <c r="E25" i="3"/>
  <c r="G25" i="3" s="1"/>
  <c r="M25" i="3" s="1"/>
  <c r="E24" i="3"/>
  <c r="G24" i="3" s="1"/>
  <c r="E23" i="3"/>
  <c r="G23" i="3" s="1"/>
  <c r="J23" i="3" s="1"/>
  <c r="E22" i="3"/>
  <c r="G22" i="3" s="1"/>
  <c r="E21" i="3"/>
  <c r="G21" i="3" s="1"/>
  <c r="M21" i="3" s="1"/>
  <c r="G20" i="3"/>
  <c r="E19" i="3"/>
  <c r="G19" i="3" s="1"/>
  <c r="E18" i="3"/>
  <c r="G18" i="3" s="1"/>
  <c r="M18" i="3" s="1"/>
  <c r="E17" i="3"/>
  <c r="G17" i="3" s="1"/>
  <c r="E16" i="3"/>
  <c r="G16" i="3" s="1"/>
  <c r="J16" i="3" s="1"/>
  <c r="E15" i="3"/>
  <c r="G15" i="3" s="1"/>
  <c r="J14" i="3"/>
  <c r="E14" i="3"/>
  <c r="G14" i="3" s="1"/>
  <c r="M14" i="3" s="1"/>
  <c r="G13" i="3"/>
  <c r="E13" i="3"/>
  <c r="G12" i="3"/>
  <c r="J12" i="3" s="1"/>
  <c r="E11" i="3"/>
  <c r="G11" i="3" s="1"/>
  <c r="M11" i="3" s="1"/>
  <c r="E10" i="3"/>
  <c r="G10" i="3" s="1"/>
  <c r="E9" i="3"/>
  <c r="G9" i="3" s="1"/>
  <c r="J9" i="3" s="1"/>
  <c r="E8" i="3"/>
  <c r="G8" i="3" s="1"/>
  <c r="G7" i="3"/>
  <c r="M7" i="3" s="1"/>
  <c r="G6" i="3"/>
  <c r="J6" i="3" s="1"/>
  <c r="K4" i="3"/>
  <c r="K33" i="3" s="1"/>
  <c r="M76" i="3" l="1"/>
  <c r="M80" i="3"/>
  <c r="J86" i="3"/>
  <c r="J97" i="3"/>
  <c r="M145" i="3"/>
  <c r="M136" i="3"/>
  <c r="N136" i="3" s="1"/>
  <c r="O136" i="3" s="1"/>
  <c r="J146" i="3"/>
  <c r="J46" i="3"/>
  <c r="M53" i="3"/>
  <c r="M115" i="3"/>
  <c r="J11" i="3"/>
  <c r="M62" i="3"/>
  <c r="J88" i="3"/>
  <c r="J42" i="3"/>
  <c r="J68" i="3"/>
  <c r="J75" i="3"/>
  <c r="J79" i="3"/>
  <c r="J83" i="3"/>
  <c r="M138" i="3"/>
  <c r="M6" i="3"/>
  <c r="M91" i="3"/>
  <c r="M117" i="3"/>
  <c r="M126" i="3"/>
  <c r="J126" i="3"/>
  <c r="J7" i="3"/>
  <c r="M16" i="3"/>
  <c r="J21" i="3"/>
  <c r="J41" i="3"/>
  <c r="J45" i="3"/>
  <c r="J51" i="3"/>
  <c r="J57" i="3"/>
  <c r="J63" i="3"/>
  <c r="J67" i="3"/>
  <c r="J71" i="3"/>
  <c r="J77" i="3"/>
  <c r="J81" i="3"/>
  <c r="J87" i="3"/>
  <c r="J110" i="3"/>
  <c r="J113" i="3"/>
  <c r="J123" i="3"/>
  <c r="J147" i="3"/>
  <c r="J149" i="3"/>
  <c r="J151" i="3"/>
  <c r="J158" i="3"/>
  <c r="J160" i="3"/>
  <c r="J162" i="3"/>
  <c r="J164" i="3"/>
  <c r="J166" i="3"/>
  <c r="I172" i="3" s="1"/>
  <c r="J168" i="3"/>
  <c r="J170" i="3"/>
  <c r="J176" i="3"/>
  <c r="J178" i="3"/>
  <c r="J180" i="3"/>
  <c r="M12" i="3"/>
  <c r="K19" i="3"/>
  <c r="J44" i="3"/>
  <c r="J50" i="3"/>
  <c r="J54" i="3"/>
  <c r="J66" i="3"/>
  <c r="J70" i="3"/>
  <c r="K8" i="3"/>
  <c r="K29" i="3"/>
  <c r="J119" i="3"/>
  <c r="M148" i="3"/>
  <c r="N148" i="3" s="1"/>
  <c r="O148" i="3" s="1"/>
  <c r="M150" i="3"/>
  <c r="M152" i="3"/>
  <c r="M159" i="3"/>
  <c r="M161" i="3"/>
  <c r="M163" i="3"/>
  <c r="M165" i="3"/>
  <c r="M167" i="3"/>
  <c r="M169" i="3"/>
  <c r="O172" i="3" s="1"/>
  <c r="M175" i="3"/>
  <c r="M177" i="3"/>
  <c r="O182" i="3" s="1"/>
  <c r="M179" i="3"/>
  <c r="M10" i="3"/>
  <c r="J10" i="3"/>
  <c r="J26" i="3"/>
  <c r="M26" i="3"/>
  <c r="M31" i="3"/>
  <c r="J31" i="3"/>
  <c r="J15" i="3"/>
  <c r="M15" i="3"/>
  <c r="M20" i="3"/>
  <c r="J20" i="3"/>
  <c r="M23" i="3"/>
  <c r="K26" i="3"/>
  <c r="J28" i="3"/>
  <c r="J33" i="3"/>
  <c r="M33" i="3"/>
  <c r="N33" i="3" s="1"/>
  <c r="M38" i="3"/>
  <c r="J38" i="3"/>
  <c r="M13" i="3"/>
  <c r="J13" i="3"/>
  <c r="J18" i="3"/>
  <c r="M9" i="3"/>
  <c r="K15" i="3"/>
  <c r="M17" i="3"/>
  <c r="J17" i="3"/>
  <c r="J22" i="3"/>
  <c r="M22" i="3"/>
  <c r="J25" i="3"/>
  <c r="M27" i="3"/>
  <c r="J27" i="3"/>
  <c r="M30" i="3"/>
  <c r="M36" i="3"/>
  <c r="J36" i="3"/>
  <c r="K179" i="3"/>
  <c r="K177" i="3"/>
  <c r="N177" i="3" s="1"/>
  <c r="O177" i="3" s="1"/>
  <c r="K175" i="3"/>
  <c r="N175" i="3" s="1"/>
  <c r="K169" i="3"/>
  <c r="K167" i="3"/>
  <c r="N167" i="3" s="1"/>
  <c r="O167" i="3" s="1"/>
  <c r="K165" i="3"/>
  <c r="K163" i="3"/>
  <c r="K161" i="3"/>
  <c r="N161" i="3" s="1"/>
  <c r="K159" i="3"/>
  <c r="N159" i="3" s="1"/>
  <c r="K152" i="3"/>
  <c r="K150" i="3"/>
  <c r="N150" i="3" s="1"/>
  <c r="O150" i="3" s="1"/>
  <c r="K148" i="3"/>
  <c r="K146" i="3"/>
  <c r="K128" i="3"/>
  <c r="K121" i="3"/>
  <c r="K115" i="3"/>
  <c r="K112" i="3"/>
  <c r="K144" i="3"/>
  <c r="K137" i="3"/>
  <c r="K135" i="3"/>
  <c r="K133" i="3"/>
  <c r="K129" i="3"/>
  <c r="K125" i="3"/>
  <c r="K122" i="3"/>
  <c r="K118" i="3"/>
  <c r="K116" i="3"/>
  <c r="K109" i="3"/>
  <c r="K180" i="3"/>
  <c r="K178" i="3"/>
  <c r="K176" i="3"/>
  <c r="N176" i="3" s="1"/>
  <c r="O176" i="3" s="1"/>
  <c r="K170" i="3"/>
  <c r="N170" i="3" s="1"/>
  <c r="K168" i="3"/>
  <c r="N168" i="3" s="1"/>
  <c r="K166" i="3"/>
  <c r="N166" i="3" s="1"/>
  <c r="K164" i="3"/>
  <c r="N164" i="3" s="1"/>
  <c r="O164" i="3" s="1"/>
  <c r="K162" i="3"/>
  <c r="N162" i="3" s="1"/>
  <c r="K160" i="3"/>
  <c r="N160" i="3" s="1"/>
  <c r="K158" i="3"/>
  <c r="N158" i="3" s="1"/>
  <c r="K151" i="3"/>
  <c r="N151" i="3" s="1"/>
  <c r="O151" i="3" s="1"/>
  <c r="K149" i="3"/>
  <c r="N149" i="3" s="1"/>
  <c r="K147" i="3"/>
  <c r="K126" i="3"/>
  <c r="K123" i="3"/>
  <c r="N123" i="3" s="1"/>
  <c r="K119" i="3"/>
  <c r="N119" i="3" s="1"/>
  <c r="O119" i="3" s="1"/>
  <c r="K113" i="3"/>
  <c r="K110" i="3"/>
  <c r="N110" i="3" s="1"/>
  <c r="O110" i="3" s="1"/>
  <c r="K120" i="3"/>
  <c r="K117" i="3"/>
  <c r="K97" i="3"/>
  <c r="K88" i="3"/>
  <c r="K86" i="3"/>
  <c r="N86" i="3" s="1"/>
  <c r="O86" i="3" s="1"/>
  <c r="K82" i="3"/>
  <c r="N82" i="3" s="1"/>
  <c r="O82" i="3" s="1"/>
  <c r="K80" i="3"/>
  <c r="K78" i="3"/>
  <c r="N78" i="3" s="1"/>
  <c r="O78" i="3" s="1"/>
  <c r="K76" i="3"/>
  <c r="N76" i="3" s="1"/>
  <c r="O76" i="3" s="1"/>
  <c r="K72" i="3"/>
  <c r="N72" i="3" s="1"/>
  <c r="O72" i="3" s="1"/>
  <c r="K70" i="3"/>
  <c r="K68" i="3"/>
  <c r="K66" i="3"/>
  <c r="N66" i="3" s="1"/>
  <c r="O66" i="3" s="1"/>
  <c r="K64" i="3"/>
  <c r="N64" i="3" s="1"/>
  <c r="O64" i="3" s="1"/>
  <c r="K62" i="3"/>
  <c r="K58" i="3"/>
  <c r="N58" i="3" s="1"/>
  <c r="O58" i="3" s="1"/>
  <c r="K54" i="3"/>
  <c r="N54" i="3" s="1"/>
  <c r="O54" i="3" s="1"/>
  <c r="K52" i="3"/>
  <c r="N52" i="3" s="1"/>
  <c r="O52" i="3" s="1"/>
  <c r="K50" i="3"/>
  <c r="K46" i="3"/>
  <c r="K44" i="3"/>
  <c r="N44" i="3" s="1"/>
  <c r="K42" i="3"/>
  <c r="N42" i="3" s="1"/>
  <c r="O42" i="3" s="1"/>
  <c r="K38" i="3"/>
  <c r="K34" i="3"/>
  <c r="K138" i="3"/>
  <c r="N138" i="3" s="1"/>
  <c r="O138" i="3" s="1"/>
  <c r="K134" i="3"/>
  <c r="N134" i="3" s="1"/>
  <c r="O134" i="3" s="1"/>
  <c r="K107" i="3"/>
  <c r="K103" i="3"/>
  <c r="K98" i="3"/>
  <c r="K145" i="3"/>
  <c r="N145" i="3" s="1"/>
  <c r="O145" i="3" s="1"/>
  <c r="K127" i="3"/>
  <c r="K124" i="3"/>
  <c r="K111" i="3"/>
  <c r="K99" i="3"/>
  <c r="N99" i="3" s="1"/>
  <c r="K91" i="3"/>
  <c r="K87" i="3"/>
  <c r="K83" i="3"/>
  <c r="N83" i="3" s="1"/>
  <c r="O83" i="3" s="1"/>
  <c r="K81" i="3"/>
  <c r="N81" i="3" s="1"/>
  <c r="O81" i="3" s="1"/>
  <c r="K79" i="3"/>
  <c r="N79" i="3" s="1"/>
  <c r="O79" i="3" s="1"/>
  <c r="K77" i="3"/>
  <c r="N77" i="3" s="1"/>
  <c r="O77" i="3" s="1"/>
  <c r="K75" i="3"/>
  <c r="N75" i="3" s="1"/>
  <c r="K71" i="3"/>
  <c r="N71" i="3" s="1"/>
  <c r="K69" i="3"/>
  <c r="K67" i="3"/>
  <c r="K65" i="3"/>
  <c r="N65" i="3" s="1"/>
  <c r="O65" i="3" s="1"/>
  <c r="K63" i="3"/>
  <c r="N63" i="3" s="1"/>
  <c r="K59" i="3"/>
  <c r="N59" i="3" s="1"/>
  <c r="O59" i="3" s="1"/>
  <c r="K57" i="3"/>
  <c r="N57" i="3" s="1"/>
  <c r="O57" i="3" s="1"/>
  <c r="K53" i="3"/>
  <c r="N53" i="3" s="1"/>
  <c r="O53" i="3" s="1"/>
  <c r="K51" i="3"/>
  <c r="N51" i="3" s="1"/>
  <c r="K47" i="3"/>
  <c r="K45" i="3"/>
  <c r="K43" i="3"/>
  <c r="N43" i="3" s="1"/>
  <c r="O43" i="3" s="1"/>
  <c r="K41" i="3"/>
  <c r="N41" i="3" s="1"/>
  <c r="O41" i="3" s="1"/>
  <c r="K36" i="3"/>
  <c r="K132" i="3"/>
  <c r="N132" i="3" s="1"/>
  <c r="O132" i="3" s="1"/>
  <c r="K30" i="3"/>
  <c r="K23" i="3"/>
  <c r="K16" i="3"/>
  <c r="K12" i="3"/>
  <c r="K9" i="3"/>
  <c r="K6" i="3"/>
  <c r="N6" i="3" s="1"/>
  <c r="K37" i="3"/>
  <c r="K35" i="3"/>
  <c r="K31" i="3"/>
  <c r="K27" i="3"/>
  <c r="K24" i="3"/>
  <c r="K20" i="3"/>
  <c r="K17" i="3"/>
  <c r="K13" i="3"/>
  <c r="K10" i="3"/>
  <c r="K14" i="3"/>
  <c r="N14" i="3" s="1"/>
  <c r="O14" i="3" s="1"/>
  <c r="K11" i="3"/>
  <c r="N11" i="3" s="1"/>
  <c r="O11" i="3" s="1"/>
  <c r="K108" i="3"/>
  <c r="K104" i="3"/>
  <c r="K100" i="3"/>
  <c r="K32" i="3"/>
  <c r="N32" i="3" s="1"/>
  <c r="K28" i="3"/>
  <c r="N28" i="3" s="1"/>
  <c r="K25" i="3"/>
  <c r="N25" i="3" s="1"/>
  <c r="K21" i="3"/>
  <c r="N21" i="3" s="1"/>
  <c r="O21" i="3" s="1"/>
  <c r="K18" i="3"/>
  <c r="N18" i="3" s="1"/>
  <c r="O18" i="3" s="1"/>
  <c r="K7" i="3"/>
  <c r="N7" i="3" s="1"/>
  <c r="O7" i="3" s="1"/>
  <c r="K136" i="3"/>
  <c r="K114" i="3"/>
  <c r="J8" i="3"/>
  <c r="M8" i="3"/>
  <c r="J19" i="3"/>
  <c r="M19" i="3"/>
  <c r="N19" i="3" s="1"/>
  <c r="O19" i="3" s="1"/>
  <c r="K22" i="3"/>
  <c r="M24" i="3"/>
  <c r="N24" i="3" s="1"/>
  <c r="J24" i="3"/>
  <c r="J29" i="3"/>
  <c r="M29" i="3"/>
  <c r="J32" i="3"/>
  <c r="M34" i="3"/>
  <c r="J34" i="3"/>
  <c r="N67" i="3"/>
  <c r="O67" i="3" s="1"/>
  <c r="N87" i="3"/>
  <c r="O87" i="3" s="1"/>
  <c r="M35" i="3"/>
  <c r="J35" i="3"/>
  <c r="J37" i="3"/>
  <c r="M37" i="3"/>
  <c r="N37" i="3" s="1"/>
  <c r="J99" i="3"/>
  <c r="N113" i="3"/>
  <c r="O113" i="3" s="1"/>
  <c r="J124" i="3"/>
  <c r="M124" i="3"/>
  <c r="M135" i="3"/>
  <c r="N135" i="3" s="1"/>
  <c r="J135" i="3"/>
  <c r="O135" i="3" s="1"/>
  <c r="O160" i="3"/>
  <c r="N68" i="3"/>
  <c r="O68" i="3" s="1"/>
  <c r="N88" i="3"/>
  <c r="O88" i="3" s="1"/>
  <c r="N97" i="3"/>
  <c r="M116" i="3"/>
  <c r="J116" i="3"/>
  <c r="N45" i="3"/>
  <c r="O45" i="3" s="1"/>
  <c r="N46" i="3"/>
  <c r="N47" i="3"/>
  <c r="O47" i="3" s="1"/>
  <c r="N50" i="3"/>
  <c r="O50" i="3" s="1"/>
  <c r="M98" i="3"/>
  <c r="J98" i="3"/>
  <c r="M103" i="3"/>
  <c r="N103" i="3" s="1"/>
  <c r="J103" i="3"/>
  <c r="M107" i="3"/>
  <c r="N107" i="3" s="1"/>
  <c r="J107" i="3"/>
  <c r="J127" i="3"/>
  <c r="M127" i="3"/>
  <c r="O168" i="3"/>
  <c r="N180" i="3"/>
  <c r="O180" i="3" s="1"/>
  <c r="J108" i="3"/>
  <c r="M108" i="3"/>
  <c r="N62" i="3"/>
  <c r="O62" i="3" s="1"/>
  <c r="N69" i="3"/>
  <c r="O69" i="3" s="1"/>
  <c r="N70" i="3"/>
  <c r="O70" i="3" s="1"/>
  <c r="N80" i="3"/>
  <c r="O80" i="3" s="1"/>
  <c r="N91" i="3"/>
  <c r="O91" i="3" s="1"/>
  <c r="M109" i="3"/>
  <c r="J109" i="3"/>
  <c r="J111" i="3"/>
  <c r="M111" i="3"/>
  <c r="J121" i="3"/>
  <c r="M121" i="3"/>
  <c r="I182" i="3"/>
  <c r="M100" i="3"/>
  <c r="N100" i="3" s="1"/>
  <c r="O100" i="3" s="1"/>
  <c r="M104" i="3"/>
  <c r="N104" i="3" s="1"/>
  <c r="O104" i="3" s="1"/>
  <c r="M118" i="3"/>
  <c r="N118" i="3" s="1"/>
  <c r="J118" i="3"/>
  <c r="N126" i="3"/>
  <c r="M129" i="3"/>
  <c r="J129" i="3"/>
  <c r="M144" i="3"/>
  <c r="J144" i="3"/>
  <c r="N146" i="3"/>
  <c r="O146" i="3" s="1"/>
  <c r="O159" i="3"/>
  <c r="N115" i="3"/>
  <c r="O115" i="3" s="1"/>
  <c r="J120" i="3"/>
  <c r="M120" i="3"/>
  <c r="M125" i="3"/>
  <c r="J125" i="3"/>
  <c r="M133" i="3"/>
  <c r="N133" i="3" s="1"/>
  <c r="J133" i="3"/>
  <c r="M137" i="3"/>
  <c r="J137" i="3"/>
  <c r="N147" i="3"/>
  <c r="O147" i="3" s="1"/>
  <c r="O161" i="3"/>
  <c r="M112" i="3"/>
  <c r="N112" i="3" s="1"/>
  <c r="O112" i="3" s="1"/>
  <c r="J114" i="3"/>
  <c r="M114" i="3"/>
  <c r="N114" i="3" s="1"/>
  <c r="M122" i="3"/>
  <c r="N122" i="3" s="1"/>
  <c r="O122" i="3" s="1"/>
  <c r="J122" i="3"/>
  <c r="M128" i="3"/>
  <c r="N178" i="3"/>
  <c r="O178" i="3" s="1"/>
  <c r="N179" i="3"/>
  <c r="O179" i="3" s="1"/>
  <c r="N169" i="3" l="1"/>
  <c r="O169" i="3" s="1"/>
  <c r="O46" i="3"/>
  <c r="O32" i="3"/>
  <c r="O44" i="3"/>
  <c r="O123" i="3"/>
  <c r="O166" i="3"/>
  <c r="O114" i="3"/>
  <c r="N124" i="3"/>
  <c r="O124" i="3" s="1"/>
  <c r="N127" i="3"/>
  <c r="O127" i="3" s="1"/>
  <c r="N34" i="3"/>
  <c r="O28" i="3"/>
  <c r="O63" i="3"/>
  <c r="O99" i="3"/>
  <c r="N117" i="3"/>
  <c r="O117" i="3" s="1"/>
  <c r="N152" i="3"/>
  <c r="O152" i="3" s="1"/>
  <c r="O126" i="3"/>
  <c r="O75" i="3"/>
  <c r="N165" i="3"/>
  <c r="O165" i="3" s="1"/>
  <c r="O103" i="3"/>
  <c r="O170" i="3"/>
  <c r="O71" i="3"/>
  <c r="N125" i="3"/>
  <c r="O133" i="3"/>
  <c r="N121" i="3"/>
  <c r="O121" i="3" s="1"/>
  <c r="O162" i="3"/>
  <c r="N137" i="3"/>
  <c r="O137" i="3" s="1"/>
  <c r="N108" i="3"/>
  <c r="O108" i="3" s="1"/>
  <c r="N109" i="3"/>
  <c r="N8" i="3"/>
  <c r="O8" i="3" s="1"/>
  <c r="O51" i="3"/>
  <c r="N12" i="3"/>
  <c r="O12" i="3" s="1"/>
  <c r="N120" i="3"/>
  <c r="O120" i="3" s="1"/>
  <c r="N111" i="3"/>
  <c r="O111" i="3" s="1"/>
  <c r="N35" i="3"/>
  <c r="N29" i="3"/>
  <c r="O29" i="3" s="1"/>
  <c r="O25" i="3"/>
  <c r="N16" i="3"/>
  <c r="O16" i="3" s="1"/>
  <c r="O149" i="3"/>
  <c r="O37" i="3"/>
  <c r="N184" i="3"/>
  <c r="D23" i="2" s="1"/>
  <c r="N163" i="3"/>
  <c r="O163" i="3" s="1"/>
  <c r="N26" i="3"/>
  <c r="O26" i="3" s="1"/>
  <c r="L182" i="3"/>
  <c r="O175" i="3"/>
  <c r="P182" i="3" s="1"/>
  <c r="O140" i="3"/>
  <c r="N186" i="3"/>
  <c r="N17" i="3"/>
  <c r="O17" i="3" s="1"/>
  <c r="N128" i="3"/>
  <c r="O128" i="3" s="1"/>
  <c r="N129" i="3"/>
  <c r="O129" i="3" s="1"/>
  <c r="O118" i="3"/>
  <c r="O107" i="3"/>
  <c r="N98" i="3"/>
  <c r="O98" i="3" s="1"/>
  <c r="L172" i="3"/>
  <c r="O158" i="3"/>
  <c r="N30" i="3"/>
  <c r="O30" i="3" s="1"/>
  <c r="N22" i="3"/>
  <c r="O22" i="3" s="1"/>
  <c r="N9" i="3"/>
  <c r="O9" i="3" s="1"/>
  <c r="N13" i="3"/>
  <c r="O13" i="3" s="1"/>
  <c r="N38" i="3"/>
  <c r="O38" i="3" s="1"/>
  <c r="N20" i="3"/>
  <c r="O20" i="3" s="1"/>
  <c r="I140" i="3"/>
  <c r="I154" i="3"/>
  <c r="N116" i="3"/>
  <c r="O116" i="3" s="1"/>
  <c r="O34" i="3"/>
  <c r="O6" i="3"/>
  <c r="I93" i="3"/>
  <c r="O33" i="3"/>
  <c r="N15" i="3"/>
  <c r="O15" i="3" s="1"/>
  <c r="O125" i="3"/>
  <c r="O154" i="3"/>
  <c r="N144" i="3"/>
  <c r="L154" i="3" s="1"/>
  <c r="O109" i="3"/>
  <c r="O97" i="3"/>
  <c r="O35" i="3"/>
  <c r="O24" i="3"/>
  <c r="O93" i="3"/>
  <c r="N36" i="3"/>
  <c r="O36" i="3" s="1"/>
  <c r="N27" i="3"/>
  <c r="O27" i="3" s="1"/>
  <c r="N23" i="3"/>
  <c r="O23" i="3" s="1"/>
  <c r="N31" i="3"/>
  <c r="O31" i="3" s="1"/>
  <c r="N10" i="3"/>
  <c r="O10" i="3" s="1"/>
  <c r="P172" i="3" l="1"/>
  <c r="N185" i="3"/>
  <c r="E23" i="2" s="1"/>
  <c r="P140" i="3"/>
  <c r="L140" i="3"/>
  <c r="P93" i="3"/>
  <c r="L93" i="3"/>
  <c r="O144" i="3"/>
  <c r="P154" i="3" s="1"/>
  <c r="L850" i="1" l="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P952" i="1"/>
  <c r="O952" i="1"/>
  <c r="N952" i="1"/>
  <c r="K952" i="1"/>
  <c r="I952" i="1"/>
  <c r="A952" i="1"/>
  <c r="P951" i="1"/>
  <c r="O951" i="1"/>
  <c r="N951" i="1"/>
  <c r="K951" i="1"/>
  <c r="I951" i="1"/>
  <c r="A951" i="1"/>
  <c r="P950" i="1"/>
  <c r="O950" i="1"/>
  <c r="N950" i="1"/>
  <c r="K950" i="1"/>
  <c r="I950" i="1"/>
  <c r="H950" i="1"/>
  <c r="A950" i="1"/>
  <c r="P949" i="1"/>
  <c r="O949" i="1"/>
  <c r="N949" i="1"/>
  <c r="K949" i="1"/>
  <c r="I949" i="1"/>
  <c r="H949" i="1"/>
  <c r="A949" i="1"/>
  <c r="I948" i="1"/>
  <c r="N948" i="1" s="1"/>
  <c r="A948" i="1"/>
  <c r="I947" i="1"/>
  <c r="K947" i="1" s="1"/>
  <c r="A947" i="1"/>
  <c r="I946" i="1"/>
  <c r="N946" i="1" s="1"/>
  <c r="A946" i="1"/>
  <c r="I945" i="1"/>
  <c r="N945" i="1" s="1"/>
  <c r="A945" i="1"/>
  <c r="I944" i="1"/>
  <c r="N944" i="1" s="1"/>
  <c r="A944" i="1"/>
  <c r="I943" i="1"/>
  <c r="K943" i="1" s="1"/>
  <c r="A943" i="1"/>
  <c r="I942" i="1"/>
  <c r="K942" i="1" s="1"/>
  <c r="A942" i="1"/>
  <c r="P941" i="1"/>
  <c r="O941" i="1"/>
  <c r="N941" i="1"/>
  <c r="K941" i="1"/>
  <c r="I941" i="1"/>
  <c r="H941" i="1"/>
  <c r="A941" i="1"/>
  <c r="P940" i="1"/>
  <c r="O940" i="1"/>
  <c r="N940" i="1"/>
  <c r="K940" i="1"/>
  <c r="I940" i="1"/>
  <c r="H940" i="1"/>
  <c r="A940" i="1"/>
  <c r="I939" i="1"/>
  <c r="N939" i="1" s="1"/>
  <c r="A939" i="1"/>
  <c r="I938" i="1"/>
  <c r="N938" i="1" s="1"/>
  <c r="A938" i="1"/>
  <c r="I937" i="1"/>
  <c r="K937" i="1" s="1"/>
  <c r="A937" i="1"/>
  <c r="I936" i="1"/>
  <c r="N936" i="1" s="1"/>
  <c r="A936" i="1"/>
  <c r="I935" i="1"/>
  <c r="N935" i="1" s="1"/>
  <c r="A935" i="1"/>
  <c r="P934" i="1"/>
  <c r="O934" i="1"/>
  <c r="N934" i="1"/>
  <c r="K934" i="1"/>
  <c r="I934" i="1"/>
  <c r="H934" i="1"/>
  <c r="A934" i="1"/>
  <c r="P933" i="1"/>
  <c r="O933" i="1"/>
  <c r="N933" i="1"/>
  <c r="K933" i="1"/>
  <c r="I933" i="1"/>
  <c r="H933" i="1"/>
  <c r="A933" i="1"/>
  <c r="I932" i="1"/>
  <c r="N932" i="1" s="1"/>
  <c r="A932" i="1"/>
  <c r="I931" i="1"/>
  <c r="K931" i="1" s="1"/>
  <c r="A931" i="1"/>
  <c r="I930" i="1"/>
  <c r="N930" i="1" s="1"/>
  <c r="A930" i="1"/>
  <c r="I929" i="1"/>
  <c r="N929" i="1" s="1"/>
  <c r="A929" i="1"/>
  <c r="I928" i="1"/>
  <c r="N928" i="1" s="1"/>
  <c r="A928" i="1"/>
  <c r="I927" i="1"/>
  <c r="K927" i="1" s="1"/>
  <c r="A927" i="1"/>
  <c r="I926" i="1"/>
  <c r="K926" i="1" s="1"/>
  <c r="A926" i="1"/>
  <c r="P925" i="1"/>
  <c r="O925" i="1"/>
  <c r="N925" i="1"/>
  <c r="K925" i="1"/>
  <c r="I925" i="1"/>
  <c r="H925" i="1"/>
  <c r="A925" i="1"/>
  <c r="P924" i="1"/>
  <c r="O924" i="1"/>
  <c r="N924" i="1"/>
  <c r="K924" i="1"/>
  <c r="I924" i="1"/>
  <c r="H924" i="1"/>
  <c r="A924" i="1"/>
  <c r="P923" i="1"/>
  <c r="O923" i="1"/>
  <c r="N923" i="1"/>
  <c r="K923" i="1"/>
  <c r="I923" i="1"/>
  <c r="H923" i="1"/>
  <c r="A923" i="1"/>
  <c r="I922" i="1"/>
  <c r="N922" i="1" s="1"/>
  <c r="A922" i="1"/>
  <c r="I921" i="1"/>
  <c r="A921" i="1"/>
  <c r="I920" i="1"/>
  <c r="A920" i="1"/>
  <c r="I919" i="1"/>
  <c r="K919" i="1" s="1"/>
  <c r="A919" i="1"/>
  <c r="I918" i="1"/>
  <c r="K918" i="1" s="1"/>
  <c r="A918" i="1"/>
  <c r="I917" i="1"/>
  <c r="N917" i="1" s="1"/>
  <c r="A917" i="1"/>
  <c r="I916" i="1"/>
  <c r="K916" i="1" s="1"/>
  <c r="A916" i="1"/>
  <c r="I915" i="1"/>
  <c r="K915" i="1" s="1"/>
  <c r="A915" i="1"/>
  <c r="I914" i="1"/>
  <c r="N914" i="1" s="1"/>
  <c r="O914" i="1" s="1"/>
  <c r="P914" i="1" s="1"/>
  <c r="A914" i="1"/>
  <c r="I913" i="1"/>
  <c r="K913" i="1" s="1"/>
  <c r="A913" i="1"/>
  <c r="I912" i="1"/>
  <c r="N912" i="1" s="1"/>
  <c r="A912" i="1"/>
  <c r="I911" i="1"/>
  <c r="N911" i="1" s="1"/>
  <c r="A911" i="1"/>
  <c r="I910" i="1"/>
  <c r="K910" i="1" s="1"/>
  <c r="A910" i="1"/>
  <c r="J909" i="1"/>
  <c r="I909" i="1"/>
  <c r="N909" i="1" s="1"/>
  <c r="A909" i="1"/>
  <c r="I908" i="1"/>
  <c r="K908" i="1" s="1"/>
  <c r="A908" i="1"/>
  <c r="P907" i="1"/>
  <c r="O907" i="1"/>
  <c r="N907" i="1"/>
  <c r="K907" i="1"/>
  <c r="I907" i="1"/>
  <c r="H907" i="1"/>
  <c r="A907" i="1"/>
  <c r="P906" i="1"/>
  <c r="O906" i="1"/>
  <c r="N906" i="1"/>
  <c r="K906" i="1"/>
  <c r="I906" i="1"/>
  <c r="A906" i="1"/>
  <c r="I905" i="1"/>
  <c r="N905" i="1" s="1"/>
  <c r="A905" i="1"/>
  <c r="I904" i="1"/>
  <c r="K904" i="1" s="1"/>
  <c r="A904" i="1"/>
  <c r="I903" i="1"/>
  <c r="K903" i="1" s="1"/>
  <c r="A903" i="1"/>
  <c r="I902" i="1"/>
  <c r="K902" i="1" s="1"/>
  <c r="A902" i="1"/>
  <c r="I901" i="1"/>
  <c r="N901" i="1" s="1"/>
  <c r="A901" i="1"/>
  <c r="J900" i="1"/>
  <c r="I900" i="1"/>
  <c r="N900" i="1" s="1"/>
  <c r="A900" i="1"/>
  <c r="P899" i="1"/>
  <c r="O899" i="1"/>
  <c r="N899" i="1"/>
  <c r="K899" i="1"/>
  <c r="I899" i="1"/>
  <c r="H899" i="1"/>
  <c r="A899" i="1"/>
  <c r="A898" i="1"/>
  <c r="I897" i="1"/>
  <c r="N897" i="1" s="1"/>
  <c r="A897" i="1"/>
  <c r="I896" i="1"/>
  <c r="N896" i="1" s="1"/>
  <c r="A896" i="1"/>
  <c r="I895" i="1"/>
  <c r="K895" i="1" s="1"/>
  <c r="A895" i="1"/>
  <c r="I894" i="1"/>
  <c r="K894" i="1" s="1"/>
  <c r="A894" i="1"/>
  <c r="I893" i="1"/>
  <c r="N893" i="1" s="1"/>
  <c r="A893" i="1"/>
  <c r="I892" i="1"/>
  <c r="N892" i="1" s="1"/>
  <c r="A892" i="1"/>
  <c r="I891" i="1"/>
  <c r="K891" i="1" s="1"/>
  <c r="A891" i="1"/>
  <c r="I890" i="1"/>
  <c r="K890" i="1" s="1"/>
  <c r="A890" i="1"/>
  <c r="I889" i="1"/>
  <c r="N889" i="1" s="1"/>
  <c r="A889" i="1"/>
  <c r="I888" i="1"/>
  <c r="N888" i="1" s="1"/>
  <c r="A888" i="1"/>
  <c r="I887" i="1"/>
  <c r="K887" i="1" s="1"/>
  <c r="A887" i="1"/>
  <c r="I886" i="1"/>
  <c r="K886" i="1" s="1"/>
  <c r="A886" i="1"/>
  <c r="I885" i="1"/>
  <c r="K885" i="1" s="1"/>
  <c r="A885" i="1"/>
  <c r="I884" i="1"/>
  <c r="N884" i="1" s="1"/>
  <c r="A884" i="1"/>
  <c r="I883" i="1"/>
  <c r="N883" i="1" s="1"/>
  <c r="A883" i="1"/>
  <c r="I882" i="1"/>
  <c r="A882" i="1"/>
  <c r="I881" i="1"/>
  <c r="N881" i="1" s="1"/>
  <c r="A881" i="1"/>
  <c r="I880" i="1"/>
  <c r="A880" i="1"/>
  <c r="I879" i="1"/>
  <c r="N879" i="1" s="1"/>
  <c r="A879" i="1"/>
  <c r="I878" i="1"/>
  <c r="K878" i="1" s="1"/>
  <c r="A878" i="1"/>
  <c r="I877" i="1"/>
  <c r="N877" i="1" s="1"/>
  <c r="A877" i="1"/>
  <c r="I876" i="1"/>
  <c r="N876" i="1" s="1"/>
  <c r="A876" i="1"/>
  <c r="I875" i="1"/>
  <c r="N875" i="1" s="1"/>
  <c r="A875" i="1"/>
  <c r="I874" i="1"/>
  <c r="K874" i="1" s="1"/>
  <c r="A874" i="1"/>
  <c r="I873" i="1"/>
  <c r="K873" i="1" s="1"/>
  <c r="A873" i="1"/>
  <c r="I872" i="1"/>
  <c r="N872" i="1" s="1"/>
  <c r="A872" i="1"/>
  <c r="I871" i="1"/>
  <c r="A871" i="1"/>
  <c r="I870" i="1"/>
  <c r="K870" i="1" s="1"/>
  <c r="A870" i="1"/>
  <c r="I869" i="1"/>
  <c r="K869" i="1" s="1"/>
  <c r="A869" i="1"/>
  <c r="I868" i="1"/>
  <c r="N868" i="1" s="1"/>
  <c r="A868" i="1"/>
  <c r="I867" i="1"/>
  <c r="N867" i="1" s="1"/>
  <c r="A867" i="1"/>
  <c r="I866" i="1"/>
  <c r="N866" i="1" s="1"/>
  <c r="A866" i="1"/>
  <c r="P865" i="1"/>
  <c r="O865" i="1"/>
  <c r="N865" i="1"/>
  <c r="K865" i="1"/>
  <c r="I865" i="1"/>
  <c r="H865" i="1"/>
  <c r="A865" i="1"/>
  <c r="P864" i="1"/>
  <c r="O864" i="1"/>
  <c r="N864" i="1"/>
  <c r="K864" i="1"/>
  <c r="I864" i="1"/>
  <c r="A864" i="1"/>
  <c r="I863" i="1"/>
  <c r="A863" i="1"/>
  <c r="I862" i="1"/>
  <c r="K862" i="1" s="1"/>
  <c r="A862" i="1"/>
  <c r="I861" i="1"/>
  <c r="N861" i="1" s="1"/>
  <c r="A861" i="1"/>
  <c r="I860" i="1"/>
  <c r="N860" i="1" s="1"/>
  <c r="A860" i="1"/>
  <c r="I859" i="1"/>
  <c r="A859" i="1"/>
  <c r="I858" i="1"/>
  <c r="K858" i="1" s="1"/>
  <c r="A858" i="1"/>
  <c r="I857" i="1"/>
  <c r="N857" i="1" s="1"/>
  <c r="A857" i="1"/>
  <c r="I856" i="1"/>
  <c r="N856" i="1" s="1"/>
  <c r="A856" i="1"/>
  <c r="I855" i="1"/>
  <c r="A855" i="1"/>
  <c r="I854" i="1"/>
  <c r="K854" i="1" s="1"/>
  <c r="A854" i="1"/>
  <c r="I853" i="1"/>
  <c r="N853" i="1" s="1"/>
  <c r="A853" i="1"/>
  <c r="I852" i="1"/>
  <c r="N852" i="1" s="1"/>
  <c r="A852" i="1"/>
  <c r="P851" i="1"/>
  <c r="O851" i="1"/>
  <c r="N851" i="1"/>
  <c r="K851" i="1"/>
  <c r="I851" i="1"/>
  <c r="H851" i="1"/>
  <c r="A851" i="1"/>
  <c r="P850" i="1"/>
  <c r="O850" i="1"/>
  <c r="N850" i="1"/>
  <c r="M850" i="1"/>
  <c r="K850" i="1"/>
  <c r="I850" i="1"/>
  <c r="H850" i="1"/>
  <c r="A850"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4" i="1"/>
  <c r="L715" i="1"/>
  <c r="L716" i="1"/>
  <c r="L717" i="1"/>
  <c r="L718" i="1"/>
  <c r="L720" i="1"/>
  <c r="L721" i="1"/>
  <c r="L722" i="1"/>
  <c r="L723" i="1"/>
  <c r="L724" i="1"/>
  <c r="L725" i="1"/>
  <c r="L726" i="1"/>
  <c r="L727" i="1"/>
  <c r="L728" i="1"/>
  <c r="L729" i="1"/>
  <c r="L730" i="1"/>
  <c r="L731" i="1"/>
  <c r="L732" i="1"/>
  <c r="L733" i="1"/>
  <c r="L734" i="1"/>
  <c r="L735" i="1"/>
  <c r="L736" i="1"/>
  <c r="L738" i="1"/>
  <c r="L739" i="1"/>
  <c r="L740" i="1"/>
  <c r="L741" i="1"/>
  <c r="L742" i="1"/>
  <c r="L743" i="1"/>
  <c r="L744" i="1"/>
  <c r="L745" i="1"/>
  <c r="L746" i="1"/>
  <c r="L747" i="1"/>
  <c r="L748" i="1"/>
  <c r="L749" i="1"/>
  <c r="L750" i="1"/>
  <c r="L751"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I845" i="1"/>
  <c r="K845" i="1" s="1"/>
  <c r="A845" i="1"/>
  <c r="I844" i="1"/>
  <c r="N844" i="1" s="1"/>
  <c r="A844" i="1"/>
  <c r="I843" i="1"/>
  <c r="A843" i="1"/>
  <c r="I842" i="1"/>
  <c r="K842" i="1" s="1"/>
  <c r="A842" i="1"/>
  <c r="P841" i="1"/>
  <c r="O841" i="1"/>
  <c r="N841" i="1"/>
  <c r="K841" i="1"/>
  <c r="I841" i="1"/>
  <c r="H841" i="1"/>
  <c r="A841" i="1"/>
  <c r="P840" i="1"/>
  <c r="O840" i="1"/>
  <c r="N840" i="1"/>
  <c r="K840" i="1"/>
  <c r="I840" i="1"/>
  <c r="A840" i="1"/>
  <c r="I839" i="1"/>
  <c r="N839" i="1" s="1"/>
  <c r="A839" i="1"/>
  <c r="I838" i="1"/>
  <c r="A838" i="1"/>
  <c r="I837" i="1"/>
  <c r="N837" i="1" s="1"/>
  <c r="A837" i="1"/>
  <c r="I836" i="1"/>
  <c r="N836" i="1" s="1"/>
  <c r="A836" i="1"/>
  <c r="I835" i="1"/>
  <c r="N835" i="1" s="1"/>
  <c r="A835" i="1"/>
  <c r="I834" i="1"/>
  <c r="A834" i="1"/>
  <c r="I833" i="1"/>
  <c r="K833" i="1" s="1"/>
  <c r="A833" i="1"/>
  <c r="I832" i="1"/>
  <c r="N832" i="1" s="1"/>
  <c r="A832" i="1"/>
  <c r="I831" i="1"/>
  <c r="N831" i="1" s="1"/>
  <c r="A831" i="1"/>
  <c r="I830" i="1"/>
  <c r="A830" i="1"/>
  <c r="I829" i="1"/>
  <c r="N829" i="1" s="1"/>
  <c r="A829" i="1"/>
  <c r="I828" i="1"/>
  <c r="N828" i="1" s="1"/>
  <c r="A828" i="1"/>
  <c r="I827" i="1"/>
  <c r="N827" i="1" s="1"/>
  <c r="A827" i="1"/>
  <c r="I826" i="1"/>
  <c r="A826" i="1"/>
  <c r="I825" i="1"/>
  <c r="N825" i="1" s="1"/>
  <c r="A825" i="1"/>
  <c r="I824" i="1"/>
  <c r="N824" i="1" s="1"/>
  <c r="A824" i="1"/>
  <c r="I823" i="1"/>
  <c r="N823" i="1" s="1"/>
  <c r="A823" i="1"/>
  <c r="I822" i="1"/>
  <c r="A822" i="1"/>
  <c r="I821" i="1"/>
  <c r="N821" i="1" s="1"/>
  <c r="A821" i="1"/>
  <c r="I820" i="1"/>
  <c r="N820" i="1" s="1"/>
  <c r="A820" i="1"/>
  <c r="I819" i="1"/>
  <c r="N819" i="1" s="1"/>
  <c r="A819" i="1"/>
  <c r="I818" i="1"/>
  <c r="A818" i="1"/>
  <c r="P817" i="1"/>
  <c r="O817" i="1"/>
  <c r="N817" i="1"/>
  <c r="K817" i="1"/>
  <c r="I817" i="1"/>
  <c r="A817" i="1"/>
  <c r="P816" i="1"/>
  <c r="O816" i="1"/>
  <c r="N816" i="1"/>
  <c r="K816" i="1"/>
  <c r="I816" i="1"/>
  <c r="A816" i="1"/>
  <c r="I815" i="1"/>
  <c r="N815" i="1" s="1"/>
  <c r="A815" i="1"/>
  <c r="I814" i="1"/>
  <c r="A814" i="1"/>
  <c r="I813" i="1"/>
  <c r="N813" i="1" s="1"/>
  <c r="A813" i="1"/>
  <c r="I812" i="1"/>
  <c r="N812" i="1" s="1"/>
  <c r="A812" i="1"/>
  <c r="I811" i="1"/>
  <c r="N811" i="1" s="1"/>
  <c r="A811" i="1"/>
  <c r="I810" i="1"/>
  <c r="A810" i="1"/>
  <c r="P809" i="1"/>
  <c r="O809" i="1"/>
  <c r="N809" i="1"/>
  <c r="K809" i="1"/>
  <c r="I809" i="1"/>
  <c r="A809" i="1"/>
  <c r="A808" i="1"/>
  <c r="I807" i="1"/>
  <c r="A807" i="1"/>
  <c r="I806" i="1"/>
  <c r="N806" i="1" s="1"/>
  <c r="A806" i="1"/>
  <c r="I805" i="1"/>
  <c r="N805" i="1" s="1"/>
  <c r="A805" i="1"/>
  <c r="I804" i="1"/>
  <c r="N804" i="1" s="1"/>
  <c r="A804" i="1"/>
  <c r="I803" i="1"/>
  <c r="A803" i="1"/>
  <c r="I802" i="1"/>
  <c r="N802" i="1" s="1"/>
  <c r="A802" i="1"/>
  <c r="I801" i="1"/>
  <c r="N801" i="1" s="1"/>
  <c r="A801" i="1"/>
  <c r="I800" i="1"/>
  <c r="N800" i="1" s="1"/>
  <c r="A800" i="1"/>
  <c r="I799" i="1"/>
  <c r="A799" i="1"/>
  <c r="I798" i="1"/>
  <c r="N798" i="1" s="1"/>
  <c r="A798" i="1"/>
  <c r="I797" i="1"/>
  <c r="N797" i="1" s="1"/>
  <c r="A797" i="1"/>
  <c r="I796" i="1"/>
  <c r="N796" i="1" s="1"/>
  <c r="A796" i="1"/>
  <c r="I795" i="1"/>
  <c r="A795" i="1"/>
  <c r="I794" i="1"/>
  <c r="N794" i="1" s="1"/>
  <c r="A794" i="1"/>
  <c r="I793" i="1"/>
  <c r="N793" i="1" s="1"/>
  <c r="A793" i="1"/>
  <c r="I792" i="1"/>
  <c r="N792" i="1" s="1"/>
  <c r="A792" i="1"/>
  <c r="I791" i="1"/>
  <c r="A791" i="1"/>
  <c r="I790" i="1"/>
  <c r="N790" i="1" s="1"/>
  <c r="A790" i="1"/>
  <c r="I789" i="1"/>
  <c r="N789" i="1" s="1"/>
  <c r="A789" i="1"/>
  <c r="I788" i="1"/>
  <c r="N788" i="1" s="1"/>
  <c r="A788" i="1"/>
  <c r="I787" i="1"/>
  <c r="A787" i="1"/>
  <c r="P786" i="1"/>
  <c r="O786" i="1"/>
  <c r="N786" i="1"/>
  <c r="K786" i="1"/>
  <c r="I786" i="1"/>
  <c r="A786" i="1"/>
  <c r="P785" i="1"/>
  <c r="O785" i="1"/>
  <c r="N785" i="1"/>
  <c r="K785" i="1"/>
  <c r="I785" i="1"/>
  <c r="A785" i="1"/>
  <c r="I784" i="1"/>
  <c r="N784" i="1" s="1"/>
  <c r="A784" i="1"/>
  <c r="I783" i="1"/>
  <c r="A783" i="1"/>
  <c r="I782" i="1"/>
  <c r="K782" i="1" s="1"/>
  <c r="A782" i="1"/>
  <c r="I781" i="1"/>
  <c r="N781" i="1" s="1"/>
  <c r="A781" i="1"/>
  <c r="I780" i="1"/>
  <c r="N780" i="1" s="1"/>
  <c r="A780" i="1"/>
  <c r="I779" i="1"/>
  <c r="A779" i="1"/>
  <c r="I778" i="1"/>
  <c r="K778" i="1" s="1"/>
  <c r="A778" i="1"/>
  <c r="I777" i="1"/>
  <c r="N777" i="1" s="1"/>
  <c r="A777" i="1"/>
  <c r="P776" i="1"/>
  <c r="O776" i="1"/>
  <c r="N776" i="1"/>
  <c r="K776" i="1"/>
  <c r="I776" i="1"/>
  <c r="A776" i="1"/>
  <c r="P775" i="1"/>
  <c r="O775" i="1"/>
  <c r="N775" i="1"/>
  <c r="K775" i="1"/>
  <c r="I775" i="1"/>
  <c r="A775" i="1"/>
  <c r="P774" i="1"/>
  <c r="O774" i="1"/>
  <c r="N774" i="1"/>
  <c r="K774" i="1"/>
  <c r="I774" i="1"/>
  <c r="A774" i="1"/>
  <c r="I773" i="1"/>
  <c r="N773" i="1" s="1"/>
  <c r="A773" i="1"/>
  <c r="I772" i="1"/>
  <c r="N772" i="1" s="1"/>
  <c r="A772" i="1"/>
  <c r="I771" i="1"/>
  <c r="K771" i="1" s="1"/>
  <c r="A771" i="1"/>
  <c r="M770" i="1"/>
  <c r="J770" i="1"/>
  <c r="I770" i="1"/>
  <c r="A770" i="1"/>
  <c r="I769" i="1"/>
  <c r="N769" i="1" s="1"/>
  <c r="A769" i="1"/>
  <c r="J768" i="1"/>
  <c r="I768" i="1"/>
  <c r="N768" i="1" s="1"/>
  <c r="A768" i="1"/>
  <c r="I767" i="1"/>
  <c r="N767" i="1" s="1"/>
  <c r="A767" i="1"/>
  <c r="I766" i="1"/>
  <c r="N766" i="1" s="1"/>
  <c r="A766" i="1"/>
  <c r="I765" i="1"/>
  <c r="A765" i="1"/>
  <c r="I764" i="1"/>
  <c r="N764" i="1" s="1"/>
  <c r="A764" i="1"/>
  <c r="P763" i="1"/>
  <c r="O763" i="1"/>
  <c r="N763" i="1"/>
  <c r="K763" i="1"/>
  <c r="I763" i="1"/>
  <c r="A763" i="1"/>
  <c r="P762" i="1"/>
  <c r="O762" i="1"/>
  <c r="N762" i="1"/>
  <c r="K762" i="1"/>
  <c r="I762" i="1"/>
  <c r="A762" i="1"/>
  <c r="I761" i="1"/>
  <c r="A761" i="1"/>
  <c r="P760" i="1"/>
  <c r="O760" i="1"/>
  <c r="N760" i="1"/>
  <c r="K760" i="1"/>
  <c r="I760" i="1"/>
  <c r="A760" i="1"/>
  <c r="P759" i="1"/>
  <c r="O759" i="1"/>
  <c r="N759" i="1"/>
  <c r="K759" i="1"/>
  <c r="I759" i="1"/>
  <c r="A759" i="1"/>
  <c r="I758" i="1"/>
  <c r="N758" i="1" s="1"/>
  <c r="A758" i="1"/>
  <c r="P757" i="1"/>
  <c r="O757" i="1"/>
  <c r="N757" i="1"/>
  <c r="K757" i="1"/>
  <c r="I757" i="1"/>
  <c r="A757" i="1"/>
  <c r="P756" i="1"/>
  <c r="O756" i="1"/>
  <c r="N756" i="1"/>
  <c r="K756" i="1"/>
  <c r="I756" i="1"/>
  <c r="A756" i="1"/>
  <c r="A755" i="1"/>
  <c r="I754" i="1"/>
  <c r="A754" i="1"/>
  <c r="I753" i="1"/>
  <c r="N753" i="1" s="1"/>
  <c r="A753" i="1"/>
  <c r="F752" i="1"/>
  <c r="I752" i="1" s="1"/>
  <c r="K752" i="1" s="1"/>
  <c r="A752" i="1"/>
  <c r="I751" i="1"/>
  <c r="N751" i="1" s="1"/>
  <c r="A751" i="1"/>
  <c r="I750" i="1"/>
  <c r="N750" i="1" s="1"/>
  <c r="A750" i="1"/>
  <c r="I749" i="1"/>
  <c r="A749" i="1"/>
  <c r="I748" i="1"/>
  <c r="K748" i="1" s="1"/>
  <c r="A748" i="1"/>
  <c r="I747" i="1"/>
  <c r="N747" i="1" s="1"/>
  <c r="A747" i="1"/>
  <c r="I746" i="1"/>
  <c r="N746" i="1" s="1"/>
  <c r="A746" i="1"/>
  <c r="I745" i="1"/>
  <c r="A745" i="1"/>
  <c r="I744" i="1"/>
  <c r="N744" i="1" s="1"/>
  <c r="A744" i="1"/>
  <c r="I743" i="1"/>
  <c r="N743" i="1" s="1"/>
  <c r="A743" i="1"/>
  <c r="I742" i="1"/>
  <c r="N742" i="1" s="1"/>
  <c r="A742" i="1"/>
  <c r="I741" i="1"/>
  <c r="A741" i="1"/>
  <c r="I740" i="1"/>
  <c r="N740" i="1" s="1"/>
  <c r="A740" i="1"/>
  <c r="I739" i="1"/>
  <c r="N739" i="1" s="1"/>
  <c r="A739" i="1"/>
  <c r="I738" i="1"/>
  <c r="N738" i="1" s="1"/>
  <c r="A738" i="1"/>
  <c r="F737" i="1"/>
  <c r="I737" i="1" s="1"/>
  <c r="A737" i="1"/>
  <c r="I736" i="1"/>
  <c r="A736" i="1"/>
  <c r="I735" i="1"/>
  <c r="K735" i="1" s="1"/>
  <c r="A735" i="1"/>
  <c r="I734" i="1"/>
  <c r="N734" i="1" s="1"/>
  <c r="A734" i="1"/>
  <c r="I733" i="1"/>
  <c r="N733" i="1" s="1"/>
  <c r="A733" i="1"/>
  <c r="I732" i="1"/>
  <c r="A732" i="1"/>
  <c r="I731" i="1"/>
  <c r="K731" i="1" s="1"/>
  <c r="A731" i="1"/>
  <c r="I730" i="1"/>
  <c r="N730" i="1" s="1"/>
  <c r="A730" i="1"/>
  <c r="I729" i="1"/>
  <c r="N729" i="1" s="1"/>
  <c r="A729" i="1"/>
  <c r="I728" i="1"/>
  <c r="A728" i="1"/>
  <c r="I727" i="1"/>
  <c r="K727" i="1" s="1"/>
  <c r="A727" i="1"/>
  <c r="I726" i="1"/>
  <c r="N726" i="1" s="1"/>
  <c r="A726" i="1"/>
  <c r="I725" i="1"/>
  <c r="N725" i="1" s="1"/>
  <c r="A725" i="1"/>
  <c r="I724" i="1"/>
  <c r="A724" i="1"/>
  <c r="I723" i="1"/>
  <c r="K723" i="1" s="1"/>
  <c r="A723" i="1"/>
  <c r="I722" i="1"/>
  <c r="N722" i="1" s="1"/>
  <c r="A722" i="1"/>
  <c r="I721" i="1"/>
  <c r="N721" i="1" s="1"/>
  <c r="A721" i="1"/>
  <c r="I720" i="1"/>
  <c r="A720" i="1"/>
  <c r="F719" i="1"/>
  <c r="L719" i="1" s="1"/>
  <c r="A719" i="1"/>
  <c r="I718" i="1"/>
  <c r="N718" i="1" s="1"/>
  <c r="A718" i="1"/>
  <c r="I717" i="1"/>
  <c r="N717" i="1" s="1"/>
  <c r="A717" i="1"/>
  <c r="I716" i="1"/>
  <c r="N716" i="1" s="1"/>
  <c r="A716" i="1"/>
  <c r="I715" i="1"/>
  <c r="K715" i="1" s="1"/>
  <c r="A715" i="1"/>
  <c r="I714" i="1"/>
  <c r="N714" i="1" s="1"/>
  <c r="A714" i="1"/>
  <c r="F713" i="1"/>
  <c r="L713" i="1" s="1"/>
  <c r="A713" i="1"/>
  <c r="I712" i="1"/>
  <c r="N712" i="1" s="1"/>
  <c r="A712" i="1"/>
  <c r="I711" i="1"/>
  <c r="A711" i="1"/>
  <c r="P710" i="1"/>
  <c r="O710" i="1"/>
  <c r="N710" i="1"/>
  <c r="K710" i="1"/>
  <c r="I710" i="1"/>
  <c r="A710" i="1"/>
  <c r="P709" i="1"/>
  <c r="O709" i="1"/>
  <c r="N709" i="1"/>
  <c r="K709" i="1"/>
  <c r="I709" i="1"/>
  <c r="A709" i="1"/>
  <c r="I708" i="1"/>
  <c r="N708" i="1" s="1"/>
  <c r="A708" i="1"/>
  <c r="I707" i="1"/>
  <c r="A707" i="1"/>
  <c r="I706" i="1"/>
  <c r="A706" i="1"/>
  <c r="I705" i="1"/>
  <c r="K705" i="1" s="1"/>
  <c r="A705" i="1"/>
  <c r="I704" i="1"/>
  <c r="A704" i="1"/>
  <c r="I703" i="1"/>
  <c r="N703" i="1" s="1"/>
  <c r="A703" i="1"/>
  <c r="I702" i="1"/>
  <c r="K702" i="1" s="1"/>
  <c r="A702" i="1"/>
  <c r="I701" i="1"/>
  <c r="N701" i="1" s="1"/>
  <c r="A701" i="1"/>
  <c r="I700" i="1"/>
  <c r="N700" i="1" s="1"/>
  <c r="A700" i="1"/>
  <c r="I699" i="1"/>
  <c r="K699" i="1" s="1"/>
  <c r="A699" i="1"/>
  <c r="I698" i="1"/>
  <c r="K698" i="1" s="1"/>
  <c r="A698" i="1"/>
  <c r="I697" i="1"/>
  <c r="N697" i="1" s="1"/>
  <c r="A697" i="1"/>
  <c r="I696" i="1"/>
  <c r="N696" i="1" s="1"/>
  <c r="A696" i="1"/>
  <c r="I695" i="1"/>
  <c r="A695" i="1"/>
  <c r="P694" i="1"/>
  <c r="O694" i="1"/>
  <c r="N694" i="1"/>
  <c r="K694" i="1"/>
  <c r="I694" i="1"/>
  <c r="A694" i="1"/>
  <c r="P693" i="1"/>
  <c r="O693" i="1"/>
  <c r="N693" i="1"/>
  <c r="K693" i="1"/>
  <c r="I693" i="1"/>
  <c r="A693" i="1"/>
  <c r="P692" i="1"/>
  <c r="O692" i="1"/>
  <c r="N692" i="1"/>
  <c r="K692" i="1"/>
  <c r="I692" i="1"/>
  <c r="A692" i="1"/>
  <c r="I691" i="1"/>
  <c r="A691" i="1"/>
  <c r="I690" i="1"/>
  <c r="K690" i="1" s="1"/>
  <c r="A690" i="1"/>
  <c r="I689" i="1"/>
  <c r="A689" i="1"/>
  <c r="I688" i="1"/>
  <c r="N688" i="1" s="1"/>
  <c r="A688" i="1"/>
  <c r="I687" i="1"/>
  <c r="A687" i="1"/>
  <c r="I686" i="1"/>
  <c r="K686" i="1" s="1"/>
  <c r="A686" i="1"/>
  <c r="I685" i="1"/>
  <c r="K685" i="1" s="1"/>
  <c r="A685" i="1"/>
  <c r="I684" i="1"/>
  <c r="N684" i="1" s="1"/>
  <c r="A684" i="1"/>
  <c r="I683" i="1"/>
  <c r="A683" i="1"/>
  <c r="I682" i="1"/>
  <c r="K682" i="1" s="1"/>
  <c r="A682" i="1"/>
  <c r="P681" i="1"/>
  <c r="O681" i="1"/>
  <c r="N681" i="1"/>
  <c r="K681" i="1"/>
  <c r="I681" i="1"/>
  <c r="A681" i="1"/>
  <c r="P680" i="1"/>
  <c r="O680" i="1"/>
  <c r="N680" i="1"/>
  <c r="K680" i="1"/>
  <c r="I680" i="1"/>
  <c r="A680" i="1"/>
  <c r="I679" i="1"/>
  <c r="A679" i="1"/>
  <c r="I678" i="1"/>
  <c r="K678" i="1" s="1"/>
  <c r="A678" i="1"/>
  <c r="I677" i="1"/>
  <c r="K677" i="1" s="1"/>
  <c r="A677" i="1"/>
  <c r="I676" i="1"/>
  <c r="N676" i="1" s="1"/>
  <c r="A676" i="1"/>
  <c r="I675" i="1"/>
  <c r="A675" i="1"/>
  <c r="I674" i="1"/>
  <c r="K674" i="1" s="1"/>
  <c r="A674" i="1"/>
  <c r="I673" i="1"/>
  <c r="K673" i="1" s="1"/>
  <c r="A673" i="1"/>
  <c r="I672" i="1"/>
  <c r="N672" i="1" s="1"/>
  <c r="A672" i="1"/>
  <c r="I671" i="1"/>
  <c r="A671" i="1"/>
  <c r="I670" i="1"/>
  <c r="K670" i="1" s="1"/>
  <c r="A670" i="1"/>
  <c r="I669" i="1"/>
  <c r="K669" i="1" s="1"/>
  <c r="A669" i="1"/>
  <c r="I668" i="1"/>
  <c r="A668" i="1"/>
  <c r="I667" i="1"/>
  <c r="A667" i="1"/>
  <c r="I666" i="1"/>
  <c r="K666" i="1" s="1"/>
  <c r="A666" i="1"/>
  <c r="I665" i="1"/>
  <c r="K665" i="1" s="1"/>
  <c r="A665" i="1"/>
  <c r="I664" i="1"/>
  <c r="N664" i="1" s="1"/>
  <c r="A664" i="1"/>
  <c r="I663" i="1"/>
  <c r="A663" i="1"/>
  <c r="I662" i="1"/>
  <c r="K662" i="1" s="1"/>
  <c r="A662" i="1"/>
  <c r="I661" i="1"/>
  <c r="K661" i="1" s="1"/>
  <c r="A661" i="1"/>
  <c r="I660" i="1"/>
  <c r="N660" i="1" s="1"/>
  <c r="A660" i="1"/>
  <c r="I659" i="1"/>
  <c r="K659" i="1" s="1"/>
  <c r="A659" i="1"/>
  <c r="I658" i="1"/>
  <c r="A658" i="1"/>
  <c r="I657" i="1"/>
  <c r="A657" i="1"/>
  <c r="I656" i="1"/>
  <c r="N656" i="1" s="1"/>
  <c r="A656" i="1"/>
  <c r="I655" i="1"/>
  <c r="K655" i="1" s="1"/>
  <c r="A655" i="1"/>
  <c r="I654" i="1"/>
  <c r="K654" i="1" s="1"/>
  <c r="A654" i="1"/>
  <c r="P653" i="1"/>
  <c r="O653" i="1"/>
  <c r="N653" i="1"/>
  <c r="K653" i="1"/>
  <c r="I653" i="1"/>
  <c r="A653" i="1"/>
  <c r="P652" i="1"/>
  <c r="O652" i="1"/>
  <c r="N652" i="1"/>
  <c r="K652" i="1"/>
  <c r="I652" i="1"/>
  <c r="A652" i="1"/>
  <c r="I651" i="1"/>
  <c r="K651" i="1" s="1"/>
  <c r="A651" i="1"/>
  <c r="I650" i="1"/>
  <c r="K650" i="1" s="1"/>
  <c r="A650" i="1"/>
  <c r="I649" i="1"/>
  <c r="N649" i="1" s="1"/>
  <c r="A649" i="1"/>
  <c r="I648" i="1"/>
  <c r="N648" i="1" s="1"/>
  <c r="A648" i="1"/>
  <c r="I647" i="1"/>
  <c r="N647" i="1" s="1"/>
  <c r="A647" i="1"/>
  <c r="I646" i="1"/>
  <c r="N646" i="1" s="1"/>
  <c r="A646" i="1"/>
  <c r="I645" i="1"/>
  <c r="N645" i="1" s="1"/>
  <c r="A645" i="1"/>
  <c r="I644" i="1"/>
  <c r="K644" i="1" s="1"/>
  <c r="A644" i="1"/>
  <c r="I643" i="1"/>
  <c r="N643" i="1" s="1"/>
  <c r="A643" i="1"/>
  <c r="I642" i="1"/>
  <c r="N642" i="1" s="1"/>
  <c r="A642" i="1"/>
  <c r="I641" i="1"/>
  <c r="N641" i="1" s="1"/>
  <c r="A641" i="1"/>
  <c r="I640" i="1"/>
  <c r="K640" i="1" s="1"/>
  <c r="A640" i="1"/>
  <c r="P639" i="1"/>
  <c r="O639" i="1"/>
  <c r="N639" i="1"/>
  <c r="M639" i="1"/>
  <c r="K639" i="1"/>
  <c r="J639" i="1"/>
  <c r="I639" i="1"/>
  <c r="H639" i="1"/>
  <c r="A639" i="1"/>
  <c r="P638" i="1"/>
  <c r="O638" i="1"/>
  <c r="N638" i="1"/>
  <c r="M638" i="1"/>
  <c r="K638" i="1"/>
  <c r="J638" i="1"/>
  <c r="I638" i="1"/>
  <c r="H638" i="1"/>
  <c r="A638"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P632" i="1"/>
  <c r="O632" i="1"/>
  <c r="N632" i="1"/>
  <c r="K632" i="1"/>
  <c r="I632" i="1"/>
  <c r="H632" i="1"/>
  <c r="A632" i="1"/>
  <c r="P631" i="1"/>
  <c r="O631" i="1"/>
  <c r="N631" i="1"/>
  <c r="K631" i="1"/>
  <c r="I631" i="1"/>
  <c r="A631" i="1"/>
  <c r="P630" i="1"/>
  <c r="O630" i="1"/>
  <c r="N630" i="1"/>
  <c r="M630" i="1"/>
  <c r="K630" i="1"/>
  <c r="J630" i="1"/>
  <c r="I630" i="1"/>
  <c r="H630" i="1"/>
  <c r="A630" i="1"/>
  <c r="H629" i="1"/>
  <c r="I629" i="1" s="1"/>
  <c r="A629" i="1"/>
  <c r="H628" i="1"/>
  <c r="I628" i="1" s="1"/>
  <c r="A628" i="1"/>
  <c r="P627" i="1"/>
  <c r="O627" i="1"/>
  <c r="N627" i="1"/>
  <c r="K627" i="1"/>
  <c r="I627" i="1"/>
  <c r="A627" i="1"/>
  <c r="P626" i="1"/>
  <c r="O626" i="1"/>
  <c r="N626" i="1"/>
  <c r="K626" i="1"/>
  <c r="I626" i="1"/>
  <c r="A626" i="1"/>
  <c r="I625" i="1"/>
  <c r="N625" i="1" s="1"/>
  <c r="A625" i="1"/>
  <c r="I624" i="1"/>
  <c r="N624" i="1" s="1"/>
  <c r="A624" i="1"/>
  <c r="P623" i="1"/>
  <c r="O623" i="1"/>
  <c r="N623" i="1"/>
  <c r="K623" i="1"/>
  <c r="I623" i="1"/>
  <c r="A623" i="1"/>
  <c r="P622" i="1"/>
  <c r="O622" i="1"/>
  <c r="N622" i="1"/>
  <c r="K622" i="1"/>
  <c r="I622" i="1"/>
  <c r="A622" i="1"/>
  <c r="I621" i="1"/>
  <c r="N621" i="1" s="1"/>
  <c r="A621" i="1"/>
  <c r="I620" i="1"/>
  <c r="N620" i="1" s="1"/>
  <c r="A620" i="1"/>
  <c r="I619" i="1"/>
  <c r="K619" i="1" s="1"/>
  <c r="A619" i="1"/>
  <c r="I618" i="1"/>
  <c r="K618" i="1" s="1"/>
  <c r="A618" i="1"/>
  <c r="I617" i="1"/>
  <c r="N617" i="1" s="1"/>
  <c r="A617" i="1"/>
  <c r="P616" i="1"/>
  <c r="O616" i="1"/>
  <c r="N616" i="1"/>
  <c r="K616" i="1"/>
  <c r="I616" i="1"/>
  <c r="A616" i="1"/>
  <c r="P615" i="1"/>
  <c r="O615" i="1"/>
  <c r="N615" i="1"/>
  <c r="K615" i="1"/>
  <c r="I615" i="1"/>
  <c r="A615" i="1"/>
  <c r="I614" i="1"/>
  <c r="N614" i="1" s="1"/>
  <c r="A614" i="1"/>
  <c r="I613" i="1"/>
  <c r="N613" i="1" s="1"/>
  <c r="A613" i="1"/>
  <c r="I612" i="1"/>
  <c r="N612" i="1" s="1"/>
  <c r="A612" i="1"/>
  <c r="I611" i="1"/>
  <c r="K611" i="1" s="1"/>
  <c r="A611" i="1"/>
  <c r="I610" i="1"/>
  <c r="N610" i="1" s="1"/>
  <c r="A610" i="1"/>
  <c r="I609" i="1"/>
  <c r="N609" i="1" s="1"/>
  <c r="A609" i="1"/>
  <c r="I608" i="1"/>
  <c r="N608" i="1" s="1"/>
  <c r="A608" i="1"/>
  <c r="I607" i="1"/>
  <c r="K607" i="1" s="1"/>
  <c r="A607" i="1"/>
  <c r="I606" i="1"/>
  <c r="N606" i="1" s="1"/>
  <c r="A606" i="1"/>
  <c r="I605" i="1"/>
  <c r="N605" i="1" s="1"/>
  <c r="A605" i="1"/>
  <c r="I604" i="1"/>
  <c r="K604" i="1" s="1"/>
  <c r="A604" i="1"/>
  <c r="I603" i="1"/>
  <c r="K603" i="1" s="1"/>
  <c r="A603" i="1"/>
  <c r="I602" i="1"/>
  <c r="K602" i="1" s="1"/>
  <c r="A602" i="1"/>
  <c r="I601" i="1"/>
  <c r="N601" i="1" s="1"/>
  <c r="A601" i="1"/>
  <c r="I600" i="1"/>
  <c r="K600" i="1" s="1"/>
  <c r="A600" i="1"/>
  <c r="I599" i="1"/>
  <c r="K599" i="1" s="1"/>
  <c r="A599" i="1"/>
  <c r="I598" i="1"/>
  <c r="N598" i="1" s="1"/>
  <c r="A598" i="1"/>
  <c r="I597" i="1"/>
  <c r="N597" i="1" s="1"/>
  <c r="A597" i="1"/>
  <c r="I596" i="1"/>
  <c r="K596" i="1" s="1"/>
  <c r="A596" i="1"/>
  <c r="I595" i="1"/>
  <c r="K595" i="1" s="1"/>
  <c r="A595" i="1"/>
  <c r="P594" i="1"/>
  <c r="O594" i="1"/>
  <c r="N594" i="1"/>
  <c r="K594" i="1"/>
  <c r="I594" i="1"/>
  <c r="A594" i="1"/>
  <c r="P593" i="1"/>
  <c r="O593" i="1"/>
  <c r="N593" i="1"/>
  <c r="K593" i="1"/>
  <c r="I593" i="1"/>
  <c r="A593" i="1"/>
  <c r="I592" i="1"/>
  <c r="K592" i="1" s="1"/>
  <c r="A592" i="1"/>
  <c r="I591" i="1"/>
  <c r="K591" i="1" s="1"/>
  <c r="A591" i="1"/>
  <c r="I590" i="1"/>
  <c r="N590" i="1" s="1"/>
  <c r="A590" i="1"/>
  <c r="I589" i="1"/>
  <c r="N589" i="1" s="1"/>
  <c r="A589" i="1"/>
  <c r="I588" i="1"/>
  <c r="K588" i="1" s="1"/>
  <c r="A588" i="1"/>
  <c r="P587" i="1"/>
  <c r="O587" i="1"/>
  <c r="N587" i="1"/>
  <c r="M587" i="1"/>
  <c r="K587" i="1"/>
  <c r="J587" i="1"/>
  <c r="I587" i="1"/>
  <c r="H587" i="1"/>
  <c r="A587" i="1"/>
  <c r="P586" i="1"/>
  <c r="O586" i="1"/>
  <c r="N586" i="1"/>
  <c r="M586" i="1"/>
  <c r="K586" i="1"/>
  <c r="J586" i="1"/>
  <c r="I586" i="1"/>
  <c r="H586" i="1"/>
  <c r="A586" i="1"/>
  <c r="K856" i="1" l="1"/>
  <c r="K796" i="1"/>
  <c r="N698" i="1"/>
  <c r="K821" i="1"/>
  <c r="N651" i="1"/>
  <c r="K730" i="1"/>
  <c r="K860" i="1"/>
  <c r="K877" i="1"/>
  <c r="K839" i="1"/>
  <c r="N842" i="1"/>
  <c r="K852" i="1"/>
  <c r="K714" i="1"/>
  <c r="K753" i="1"/>
  <c r="K835" i="1"/>
  <c r="K853" i="1"/>
  <c r="N854" i="1"/>
  <c r="K857" i="1"/>
  <c r="N858" i="1"/>
  <c r="K861" i="1"/>
  <c r="N862" i="1"/>
  <c r="N869" i="1"/>
  <c r="K909" i="1"/>
  <c r="N910" i="1"/>
  <c r="K928" i="1"/>
  <c r="K647" i="1"/>
  <c r="N682" i="1"/>
  <c r="N618" i="1"/>
  <c r="K643" i="1"/>
  <c r="N650" i="1"/>
  <c r="N655" i="1"/>
  <c r="N705" i="1"/>
  <c r="K800" i="1"/>
  <c r="K812" i="1"/>
  <c r="K827" i="1"/>
  <c r="K872" i="1"/>
  <c r="K888" i="1"/>
  <c r="K897" i="1"/>
  <c r="K900" i="1"/>
  <c r="K901" i="1"/>
  <c r="K944" i="1"/>
  <c r="N885" i="1"/>
  <c r="N894" i="1"/>
  <c r="N915" i="1"/>
  <c r="N685" i="1"/>
  <c r="N723" i="1"/>
  <c r="N748" i="1"/>
  <c r="N782" i="1"/>
  <c r="K722" i="1"/>
  <c r="K738" i="1"/>
  <c r="K750" i="1"/>
  <c r="K781" i="1"/>
  <c r="K788" i="1"/>
  <c r="K802" i="1"/>
  <c r="K829" i="1"/>
  <c r="K868" i="1"/>
  <c r="K881" i="1"/>
  <c r="K884" i="1"/>
  <c r="K893" i="1"/>
  <c r="K905" i="1"/>
  <c r="N908" i="1"/>
  <c r="N927" i="1"/>
  <c r="K946" i="1"/>
  <c r="K649" i="1"/>
  <c r="N677" i="1"/>
  <c r="N690" i="1"/>
  <c r="K701" i="1"/>
  <c r="N715" i="1"/>
  <c r="N731" i="1"/>
  <c r="K744" i="1"/>
  <c r="K764" i="1"/>
  <c r="K794" i="1"/>
  <c r="K806" i="1"/>
  <c r="K819" i="1"/>
  <c r="N833" i="1"/>
  <c r="N873" i="1"/>
  <c r="K889" i="1"/>
  <c r="N890" i="1"/>
  <c r="N902" i="1"/>
  <c r="K939" i="1"/>
  <c r="N918" i="1"/>
  <c r="K936" i="1"/>
  <c r="N942" i="1"/>
  <c r="K645" i="1"/>
  <c r="N661" i="1"/>
  <c r="K676" i="1"/>
  <c r="K703" i="1"/>
  <c r="I713" i="1"/>
  <c r="K713" i="1" s="1"/>
  <c r="K717" i="1"/>
  <c r="N727" i="1"/>
  <c r="N735" i="1"/>
  <c r="K740" i="1"/>
  <c r="K746" i="1"/>
  <c r="K766" i="1"/>
  <c r="K769" i="1"/>
  <c r="K770" i="1"/>
  <c r="N771" i="1"/>
  <c r="N778" i="1"/>
  <c r="K790" i="1"/>
  <c r="K798" i="1"/>
  <c r="K823" i="1"/>
  <c r="K831" i="1"/>
  <c r="K837" i="1"/>
  <c r="K866" i="1"/>
  <c r="K875" i="1"/>
  <c r="K879" i="1"/>
  <c r="N887" i="1"/>
  <c r="K892" i="1"/>
  <c r="N904" i="1"/>
  <c r="K912" i="1"/>
  <c r="N913" i="1"/>
  <c r="K922" i="1"/>
  <c r="N926" i="1"/>
  <c r="K930" i="1"/>
  <c r="K945" i="1"/>
  <c r="N602" i="1"/>
  <c r="K625" i="1"/>
  <c r="N669" i="1"/>
  <c r="N686" i="1"/>
  <c r="K708" i="1"/>
  <c r="K726" i="1"/>
  <c r="K734" i="1"/>
  <c r="K742" i="1"/>
  <c r="K768" i="1"/>
  <c r="K777" i="1"/>
  <c r="K792" i="1"/>
  <c r="K804" i="1"/>
  <c r="K825" i="1"/>
  <c r="N870" i="1"/>
  <c r="N874" i="1"/>
  <c r="N886" i="1"/>
  <c r="N891" i="1"/>
  <c r="N903" i="1"/>
  <c r="K911" i="1"/>
  <c r="N919" i="1"/>
  <c r="K929" i="1"/>
  <c r="K935" i="1"/>
  <c r="N943" i="1"/>
  <c r="N921" i="1"/>
  <c r="K921" i="1"/>
  <c r="N657" i="1"/>
  <c r="K657" i="1"/>
  <c r="N689" i="1"/>
  <c r="K689" i="1"/>
  <c r="N859" i="1"/>
  <c r="K859" i="1"/>
  <c r="N871" i="1"/>
  <c r="K871" i="1"/>
  <c r="N863" i="1"/>
  <c r="K863" i="1"/>
  <c r="N855" i="1"/>
  <c r="K855" i="1"/>
  <c r="N880" i="1"/>
  <c r="K880" i="1"/>
  <c r="K882" i="1"/>
  <c r="N882" i="1"/>
  <c r="K920" i="1"/>
  <c r="N920" i="1"/>
  <c r="N668" i="1"/>
  <c r="K668" i="1"/>
  <c r="K658" i="1"/>
  <c r="N658" i="1"/>
  <c r="N937" i="1"/>
  <c r="K938" i="1"/>
  <c r="K641" i="1"/>
  <c r="N665" i="1"/>
  <c r="N673" i="1"/>
  <c r="K867" i="1"/>
  <c r="K876" i="1"/>
  <c r="K883" i="1"/>
  <c r="N895" i="1"/>
  <c r="K896" i="1"/>
  <c r="N916" i="1"/>
  <c r="K917" i="1"/>
  <c r="N931" i="1"/>
  <c r="K932" i="1"/>
  <c r="K664" i="1"/>
  <c r="K672" i="1"/>
  <c r="N878" i="1"/>
  <c r="N947" i="1"/>
  <c r="K948" i="1"/>
  <c r="L737" i="1"/>
  <c r="O697" i="1"/>
  <c r="P697" i="1" s="1"/>
  <c r="K598" i="1"/>
  <c r="N599" i="1"/>
  <c r="K621" i="1"/>
  <c r="K656" i="1"/>
  <c r="K684" i="1"/>
  <c r="K688" i="1"/>
  <c r="K696" i="1"/>
  <c r="K712" i="1"/>
  <c r="K718" i="1"/>
  <c r="K721" i="1"/>
  <c r="K725" i="1"/>
  <c r="K729" i="1"/>
  <c r="K733" i="1"/>
  <c r="N752" i="1"/>
  <c r="K758" i="1"/>
  <c r="N770" i="1"/>
  <c r="K772" i="1"/>
  <c r="K780" i="1"/>
  <c r="K784" i="1"/>
  <c r="K789" i="1"/>
  <c r="K793" i="1"/>
  <c r="K797" i="1"/>
  <c r="K801" i="1"/>
  <c r="K805" i="1"/>
  <c r="K813" i="1"/>
  <c r="K844" i="1"/>
  <c r="L752" i="1"/>
  <c r="K617" i="1"/>
  <c r="N654" i="1"/>
  <c r="N662" i="1"/>
  <c r="N666" i="1"/>
  <c r="N670" i="1"/>
  <c r="N674" i="1"/>
  <c r="N678" i="1"/>
  <c r="N699" i="1"/>
  <c r="K716" i="1"/>
  <c r="K739" i="1"/>
  <c r="K743" i="1"/>
  <c r="K747" i="1"/>
  <c r="K751" i="1"/>
  <c r="K767" i="1"/>
  <c r="K811" i="1"/>
  <c r="K815" i="1"/>
  <c r="K820" i="1"/>
  <c r="K824" i="1"/>
  <c r="K828" i="1"/>
  <c r="K832" i="1"/>
  <c r="K836" i="1"/>
  <c r="N720" i="1"/>
  <c r="K720" i="1"/>
  <c r="N595" i="1"/>
  <c r="N640" i="1"/>
  <c r="K642" i="1"/>
  <c r="N644" i="1"/>
  <c r="K646" i="1"/>
  <c r="N671" i="1"/>
  <c r="K671" i="1"/>
  <c r="N691" i="1"/>
  <c r="K691" i="1"/>
  <c r="N695" i="1"/>
  <c r="K695" i="1"/>
  <c r="N707" i="1"/>
  <c r="K707" i="1"/>
  <c r="N711" i="1"/>
  <c r="K711" i="1"/>
  <c r="N667" i="1"/>
  <c r="K667" i="1"/>
  <c r="N687" i="1"/>
  <c r="K687" i="1"/>
  <c r="I719" i="1"/>
  <c r="K719" i="1" s="1"/>
  <c r="N675" i="1"/>
  <c r="K675" i="1"/>
  <c r="N588" i="1"/>
  <c r="N592" i="1"/>
  <c r="K606" i="1"/>
  <c r="N607" i="1"/>
  <c r="K610" i="1"/>
  <c r="N611" i="1"/>
  <c r="K614" i="1"/>
  <c r="N603" i="1"/>
  <c r="K609" i="1"/>
  <c r="K613" i="1"/>
  <c r="K648" i="1"/>
  <c r="N659" i="1"/>
  <c r="K660" i="1"/>
  <c r="N663" i="1"/>
  <c r="K663" i="1"/>
  <c r="N679" i="1"/>
  <c r="K679" i="1"/>
  <c r="N683" i="1"/>
  <c r="K683" i="1"/>
  <c r="N704" i="1"/>
  <c r="K704" i="1"/>
  <c r="K706" i="1"/>
  <c r="N706" i="1"/>
  <c r="N736" i="1"/>
  <c r="K736" i="1"/>
  <c r="N732" i="1"/>
  <c r="K732" i="1"/>
  <c r="N749" i="1"/>
  <c r="K749" i="1"/>
  <c r="N754" i="1"/>
  <c r="K754" i="1"/>
  <c r="N779" i="1"/>
  <c r="K779" i="1"/>
  <c r="N803" i="1"/>
  <c r="K803" i="1"/>
  <c r="K700" i="1"/>
  <c r="N728" i="1"/>
  <c r="K728" i="1"/>
  <c r="N745" i="1"/>
  <c r="K745" i="1"/>
  <c r="N761" i="1"/>
  <c r="K761" i="1"/>
  <c r="N787" i="1"/>
  <c r="K787" i="1"/>
  <c r="N830" i="1"/>
  <c r="K830" i="1"/>
  <c r="N702" i="1"/>
  <c r="N724" i="1"/>
  <c r="K724" i="1"/>
  <c r="N737" i="1"/>
  <c r="N741" i="1"/>
  <c r="K741" i="1"/>
  <c r="N765" i="1"/>
  <c r="K765" i="1"/>
  <c r="K737" i="1"/>
  <c r="N799" i="1"/>
  <c r="K799" i="1"/>
  <c r="N826" i="1"/>
  <c r="K826" i="1"/>
  <c r="K773" i="1"/>
  <c r="N795" i="1"/>
  <c r="K795" i="1"/>
  <c r="N814" i="1"/>
  <c r="K814" i="1"/>
  <c r="N822" i="1"/>
  <c r="K822" i="1"/>
  <c r="N838" i="1"/>
  <c r="K838" i="1"/>
  <c r="N783" i="1"/>
  <c r="K783" i="1"/>
  <c r="N791" i="1"/>
  <c r="K791" i="1"/>
  <c r="N807" i="1"/>
  <c r="K807" i="1"/>
  <c r="N810" i="1"/>
  <c r="K810" i="1"/>
  <c r="N818" i="1"/>
  <c r="K818" i="1"/>
  <c r="N834" i="1"/>
  <c r="K834" i="1"/>
  <c r="N843" i="1"/>
  <c r="K843" i="1"/>
  <c r="N845" i="1"/>
  <c r="K590" i="1"/>
  <c r="N591" i="1"/>
  <c r="N596" i="1"/>
  <c r="N600" i="1"/>
  <c r="N604" i="1"/>
  <c r="N619" i="1"/>
  <c r="K628" i="1"/>
  <c r="N628" i="1"/>
  <c r="K629" i="1"/>
  <c r="N629" i="1"/>
  <c r="K589" i="1"/>
  <c r="K597" i="1"/>
  <c r="K605" i="1"/>
  <c r="K608" i="1"/>
  <c r="K612" i="1"/>
  <c r="K620" i="1"/>
  <c r="K624" i="1"/>
  <c r="K601" i="1"/>
  <c r="N713" i="1" l="1"/>
  <c r="N719" i="1"/>
  <c r="M493" i="1" l="1"/>
  <c r="J493" i="1"/>
  <c r="M497" i="1"/>
  <c r="M496" i="1"/>
  <c r="M495" i="1"/>
  <c r="J497" i="1"/>
  <c r="J496" i="1"/>
  <c r="J495" i="1"/>
  <c r="J506" i="1"/>
  <c r="M504" i="1" l="1"/>
  <c r="M506" i="1" s="1"/>
  <c r="J504" i="1"/>
  <c r="R504" i="1"/>
  <c r="M538" i="1"/>
  <c r="J538" i="1"/>
  <c r="M526" i="1"/>
  <c r="J526" i="1"/>
  <c r="M527" i="1"/>
  <c r="J527" i="1"/>
  <c r="M525" i="1"/>
  <c r="J525" i="1"/>
  <c r="J213" i="1"/>
  <c r="M213" i="1"/>
  <c r="J216" i="1"/>
  <c r="J215"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J247" i="1"/>
  <c r="J246" i="1"/>
  <c r="J245" i="1"/>
  <c r="J244" i="1"/>
  <c r="J243" i="1"/>
  <c r="J242" i="1"/>
  <c r="J241" i="1"/>
  <c r="J240" i="1"/>
  <c r="J238" i="1"/>
  <c r="J237" i="1"/>
  <c r="J236" i="1"/>
  <c r="J235" i="1"/>
  <c r="J234" i="1"/>
  <c r="J233" i="1"/>
  <c r="J232" i="1"/>
  <c r="J231" i="1"/>
  <c r="J230" i="1"/>
  <c r="J229" i="1"/>
  <c r="J228" i="1"/>
  <c r="J227" i="1"/>
  <c r="J226" i="1"/>
  <c r="J225" i="1"/>
  <c r="J224" i="1"/>
  <c r="J223" i="1"/>
  <c r="J222" i="1"/>
  <c r="J221" i="1"/>
  <c r="J220" i="1"/>
  <c r="J219" i="1"/>
  <c r="M218" i="1"/>
  <c r="J218" i="1"/>
  <c r="M137" i="1"/>
  <c r="M136" i="1"/>
  <c r="M135" i="1"/>
  <c r="M134" i="1"/>
  <c r="M115" i="1"/>
  <c r="M113" i="1"/>
  <c r="M112" i="1"/>
  <c r="M111" i="1"/>
  <c r="J137" i="1"/>
  <c r="J136" i="1"/>
  <c r="J135" i="1"/>
  <c r="J134" i="1"/>
  <c r="J115" i="1"/>
  <c r="J113" i="1"/>
  <c r="J112" i="1"/>
  <c r="J111" i="1"/>
  <c r="M108" i="1"/>
  <c r="J108" i="1"/>
  <c r="M129" i="1"/>
  <c r="M107" i="1"/>
  <c r="M106" i="1"/>
  <c r="M105" i="1"/>
  <c r="M104" i="1"/>
  <c r="J129" i="1"/>
  <c r="J107" i="1"/>
  <c r="J106" i="1"/>
  <c r="J105" i="1"/>
  <c r="J104" i="1"/>
  <c r="F152" i="1"/>
  <c r="F74" i="1"/>
  <c r="F73" i="1"/>
  <c r="F72" i="1"/>
  <c r="F70" i="1"/>
  <c r="F69" i="1"/>
  <c r="F71" i="1"/>
  <c r="F68" i="1"/>
  <c r="F67" i="1"/>
  <c r="F66" i="1"/>
  <c r="R172" i="1"/>
  <c r="M144" i="1"/>
  <c r="M132" i="1"/>
  <c r="M131" i="1"/>
  <c r="M92" i="1"/>
  <c r="J144" i="1"/>
  <c r="J132" i="1"/>
  <c r="J131" i="1"/>
  <c r="J92" i="1"/>
  <c r="M142" i="1"/>
  <c r="M133" i="1"/>
  <c r="M91" i="1"/>
  <c r="J142" i="1"/>
  <c r="J133" i="1"/>
  <c r="J91" i="1"/>
  <c r="M149" i="1"/>
  <c r="M97" i="1"/>
  <c r="M96" i="1"/>
  <c r="J149" i="1"/>
  <c r="J97" i="1"/>
  <c r="J96" i="1"/>
  <c r="J167" i="1"/>
  <c r="R88" i="1"/>
  <c r="R64" i="1"/>
  <c r="M315" i="1" l="1"/>
  <c r="J315" i="1"/>
  <c r="M451" i="1"/>
  <c r="M446" i="1"/>
  <c r="M441" i="1"/>
  <c r="M436" i="1"/>
  <c r="M431" i="1"/>
  <c r="M426" i="1"/>
  <c r="M421" i="1"/>
  <c r="M415" i="1"/>
  <c r="M409" i="1"/>
  <c r="M404" i="1"/>
  <c r="M399" i="1"/>
  <c r="M319" i="1"/>
  <c r="M310" i="1"/>
  <c r="M306" i="1"/>
  <c r="M302" i="1"/>
  <c r="M297" i="1"/>
  <c r="J451" i="1"/>
  <c r="J446" i="1"/>
  <c r="J441" i="1"/>
  <c r="J436" i="1"/>
  <c r="J431" i="1"/>
  <c r="J426" i="1"/>
  <c r="J421" i="1"/>
  <c r="J415" i="1"/>
  <c r="J409" i="1"/>
  <c r="J404" i="1"/>
  <c r="J399" i="1"/>
  <c r="J319" i="1"/>
  <c r="J310" i="1"/>
  <c r="J306" i="1"/>
  <c r="J302" i="1"/>
  <c r="J297" i="1"/>
  <c r="J457" i="1"/>
  <c r="J456" i="1"/>
  <c r="M457" i="1"/>
  <c r="M456" i="1"/>
  <c r="M323" i="1"/>
  <c r="J323" i="1"/>
  <c r="M392" i="1"/>
  <c r="M385" i="1"/>
  <c r="M377" i="1"/>
  <c r="M370" i="1"/>
  <c r="M363" i="1"/>
  <c r="M356" i="1"/>
  <c r="M349" i="1"/>
  <c r="M342" i="1"/>
  <c r="M334" i="1"/>
  <c r="M327" i="1"/>
  <c r="M290" i="1"/>
  <c r="M284" i="1"/>
  <c r="M276" i="1"/>
  <c r="M269" i="1"/>
  <c r="J392" i="1"/>
  <c r="J385" i="1"/>
  <c r="J377" i="1"/>
  <c r="J370" i="1"/>
  <c r="J363" i="1"/>
  <c r="J356" i="1"/>
  <c r="J349" i="1"/>
  <c r="J342" i="1"/>
  <c r="J334" i="1"/>
  <c r="J327" i="1"/>
  <c r="J290" i="1"/>
  <c r="J284" i="1"/>
  <c r="J276" i="1"/>
  <c r="J269" i="1"/>
  <c r="M262" i="1"/>
  <c r="J262" i="1"/>
  <c r="A491" i="1" l="1"/>
  <c r="M521" i="1" l="1"/>
  <c r="J521" i="1"/>
  <c r="H521" i="1"/>
  <c r="I521" i="1" s="1"/>
  <c r="A521" i="1"/>
  <c r="P520" i="1"/>
  <c r="O520" i="1"/>
  <c r="N520" i="1"/>
  <c r="M520" i="1"/>
  <c r="L520" i="1"/>
  <c r="K520" i="1"/>
  <c r="J520" i="1"/>
  <c r="I520" i="1"/>
  <c r="H520" i="1"/>
  <c r="A520" i="1"/>
  <c r="F199" i="1"/>
  <c r="A199" i="1"/>
  <c r="A200" i="1"/>
  <c r="A198" i="1"/>
  <c r="F206" i="1"/>
  <c r="F203" i="1"/>
  <c r="F202" i="1"/>
  <c r="A208" i="1"/>
  <c r="A207" i="1"/>
  <c r="A206" i="1"/>
  <c r="H205" i="1"/>
  <c r="I205" i="1" s="1"/>
  <c r="A205" i="1"/>
  <c r="A204" i="1"/>
  <c r="A203" i="1"/>
  <c r="A202" i="1"/>
  <c r="A201" i="1"/>
  <c r="N205" i="1" l="1"/>
  <c r="K521" i="1"/>
  <c r="K200" i="1"/>
  <c r="N521" i="1"/>
  <c r="K199" i="1"/>
  <c r="N200" i="1"/>
  <c r="K198" i="1"/>
  <c r="N198" i="1"/>
  <c r="K205" i="1"/>
  <c r="F208" i="1"/>
  <c r="N202" i="1"/>
  <c r="K203" i="1"/>
  <c r="I206" i="1"/>
  <c r="K206" i="1" s="1"/>
  <c r="N201" i="1"/>
  <c r="K201" i="1"/>
  <c r="K207" i="1"/>
  <c r="N207" i="1"/>
  <c r="N204" i="1"/>
  <c r="N208" i="1" l="1"/>
  <c r="K202" i="1"/>
  <c r="N199" i="1"/>
  <c r="K208" i="1"/>
  <c r="N206" i="1"/>
  <c r="N203" i="1"/>
  <c r="K204" i="1"/>
  <c r="A18" i="1" l="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60" i="1"/>
  <c r="A461" i="1"/>
  <c r="A462" i="1"/>
  <c r="A463" i="1"/>
  <c r="A464" i="1"/>
  <c r="A459"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633" i="1"/>
  <c r="A634" i="1"/>
  <c r="A635" i="1"/>
  <c r="A636" i="1"/>
  <c r="A637" i="1"/>
  <c r="A846" i="1"/>
  <c r="A847" i="1"/>
  <c r="A848" i="1"/>
  <c r="A849" i="1"/>
  <c r="A953" i="1"/>
  <c r="A954" i="1"/>
  <c r="A955" i="1"/>
  <c r="A956" i="1"/>
  <c r="A957" i="1"/>
  <c r="A958" i="1"/>
  <c r="A959" i="1"/>
  <c r="A960" i="1"/>
  <c r="A961" i="1"/>
  <c r="A962" i="1"/>
  <c r="A963" i="1"/>
  <c r="A964" i="1"/>
  <c r="A965" i="1"/>
  <c r="A966" i="1"/>
  <c r="A967" i="1"/>
  <c r="A968" i="1"/>
  <c r="A969" i="1"/>
  <c r="A970" i="1"/>
  <c r="A971" i="1"/>
  <c r="A972" i="1"/>
  <c r="A973" i="1"/>
  <c r="A974" i="1"/>
  <c r="A975" i="1"/>
  <c r="A976" i="1"/>
  <c r="A977" i="1"/>
  <c r="A978" i="1"/>
  <c r="A979" i="1"/>
  <c r="A980" i="1"/>
  <c r="A981" i="1"/>
  <c r="A982" i="1"/>
  <c r="A983" i="1"/>
  <c r="A984" i="1"/>
  <c r="A985" i="1"/>
  <c r="A986" i="1"/>
  <c r="A987" i="1"/>
  <c r="A988" i="1"/>
  <c r="A989" i="1"/>
  <c r="A990" i="1"/>
  <c r="A991" i="1"/>
  <c r="A992" i="1"/>
  <c r="A993" i="1"/>
  <c r="A994" i="1"/>
  <c r="A995" i="1"/>
  <c r="A996" i="1"/>
  <c r="A997" i="1"/>
  <c r="A998" i="1"/>
  <c r="A999" i="1"/>
  <c r="A1000" i="1"/>
  <c r="A1001" i="1"/>
  <c r="A1002" i="1"/>
  <c r="A1003" i="1"/>
  <c r="A1004" i="1"/>
  <c r="A1005" i="1"/>
  <c r="A1006" i="1"/>
  <c r="A1007" i="1"/>
  <c r="A1008" i="1"/>
  <c r="A1009" i="1"/>
  <c r="A1010" i="1"/>
  <c r="A1011" i="1"/>
  <c r="A1012" i="1"/>
  <c r="A1013" i="1"/>
  <c r="A1014" i="1"/>
  <c r="A1015" i="1"/>
  <c r="A1016" i="1"/>
  <c r="A1017" i="1"/>
  <c r="A1018" i="1"/>
  <c r="A1019" i="1"/>
  <c r="A1020" i="1"/>
  <c r="A1021" i="1"/>
  <c r="A1022" i="1"/>
  <c r="A1023" i="1"/>
  <c r="A1024" i="1"/>
  <c r="A1025" i="1"/>
  <c r="A1026" i="1"/>
  <c r="A1027" i="1"/>
  <c r="A1028" i="1"/>
  <c r="A1029" i="1"/>
  <c r="A1030" i="1"/>
  <c r="A1031" i="1"/>
  <c r="A1032" i="1"/>
  <c r="A1033" i="1"/>
  <c r="A1034" i="1"/>
  <c r="A1035" i="1"/>
  <c r="A1036" i="1"/>
  <c r="A1037" i="1"/>
  <c r="A1038" i="1"/>
  <c r="A1039" i="1"/>
  <c r="A1040" i="1"/>
  <c r="A1041" i="1"/>
  <c r="A1042" i="1"/>
  <c r="A1043" i="1"/>
  <c r="A1044" i="1"/>
  <c r="A1045" i="1"/>
  <c r="A1046" i="1"/>
  <c r="A1047" i="1"/>
  <c r="A1048" i="1"/>
  <c r="A1049" i="1"/>
  <c r="A1050" i="1"/>
  <c r="A1051" i="1"/>
  <c r="A1052" i="1"/>
  <c r="A1053" i="1"/>
  <c r="A1054" i="1"/>
  <c r="A1055" i="1"/>
  <c r="A1056" i="1"/>
  <c r="A1057" i="1"/>
  <c r="A1058" i="1"/>
  <c r="A1059" i="1"/>
  <c r="A1060" i="1"/>
  <c r="A1061" i="1"/>
  <c r="A1062" i="1"/>
  <c r="A1063" i="1"/>
  <c r="A1064" i="1"/>
  <c r="A1065" i="1"/>
  <c r="A1066" i="1"/>
  <c r="A1067" i="1"/>
  <c r="A1068" i="1"/>
  <c r="A1069" i="1"/>
  <c r="A1070" i="1"/>
  <c r="A1071" i="1"/>
  <c r="A1072" i="1"/>
  <c r="A1073" i="1"/>
  <c r="A1074" i="1"/>
  <c r="A1075" i="1"/>
  <c r="A1076" i="1"/>
  <c r="A1077" i="1"/>
  <c r="A1078" i="1"/>
  <c r="A1079" i="1"/>
  <c r="A1080" i="1"/>
  <c r="A1081" i="1"/>
  <c r="A1082" i="1"/>
  <c r="A1083" i="1"/>
  <c r="A1084" i="1"/>
  <c r="A1085" i="1"/>
  <c r="A1086" i="1"/>
  <c r="A1087" i="1"/>
  <c r="A1088" i="1"/>
  <c r="A1089" i="1"/>
  <c r="A1090" i="1"/>
  <c r="A1091" i="1"/>
  <c r="A1092" i="1"/>
  <c r="A1093" i="1"/>
  <c r="A1094" i="1"/>
  <c r="A1095" i="1"/>
  <c r="A1096" i="1"/>
  <c r="A1097" i="1"/>
  <c r="A1098" i="1"/>
  <c r="A1099" i="1"/>
  <c r="A1100" i="1"/>
  <c r="A1101" i="1"/>
  <c r="A1102" i="1"/>
  <c r="A1103" i="1"/>
  <c r="A1104" i="1"/>
  <c r="A1105" i="1"/>
  <c r="A1106" i="1"/>
  <c r="A1107" i="1"/>
  <c r="A1108" i="1"/>
  <c r="A1109" i="1"/>
  <c r="A1110" i="1"/>
  <c r="A1111" i="1"/>
  <c r="A1112" i="1"/>
  <c r="L1065" i="1"/>
  <c r="I506" i="1"/>
  <c r="F504" i="1"/>
  <c r="I502" i="1"/>
  <c r="I500" i="1"/>
  <c r="I499" i="1"/>
  <c r="F497" i="1"/>
  <c r="F496" i="1"/>
  <c r="F495" i="1"/>
  <c r="I494" i="1"/>
  <c r="F493" i="1"/>
  <c r="I492" i="1"/>
  <c r="F472" i="1"/>
  <c r="F471" i="1"/>
  <c r="H471" i="1" s="1"/>
  <c r="F470" i="1"/>
  <c r="P469" i="1"/>
  <c r="O469" i="1"/>
  <c r="N469" i="1"/>
  <c r="M469" i="1"/>
  <c r="L469" i="1"/>
  <c r="K469" i="1"/>
  <c r="J469" i="1"/>
  <c r="I469" i="1"/>
  <c r="H469" i="1"/>
  <c r="F459" i="1"/>
  <c r="F464" i="1"/>
  <c r="F463" i="1"/>
  <c r="F462" i="1"/>
  <c r="I462" i="1" s="1"/>
  <c r="I461" i="1"/>
  <c r="P460" i="1"/>
  <c r="O460" i="1"/>
  <c r="N460" i="1"/>
  <c r="M460" i="1"/>
  <c r="L460" i="1"/>
  <c r="K460" i="1"/>
  <c r="J460" i="1"/>
  <c r="I460" i="1"/>
  <c r="H460" i="1"/>
  <c r="I458" i="1"/>
  <c r="I457" i="1"/>
  <c r="I456" i="1"/>
  <c r="F454" i="1"/>
  <c r="F453" i="1"/>
  <c r="F452" i="1"/>
  <c r="F451" i="1"/>
  <c r="P450" i="1"/>
  <c r="F449" i="1"/>
  <c r="F448" i="1"/>
  <c r="F447" i="1"/>
  <c r="F446" i="1"/>
  <c r="P445" i="1"/>
  <c r="F444" i="1"/>
  <c r="F443" i="1"/>
  <c r="F442" i="1"/>
  <c r="F441" i="1"/>
  <c r="P440" i="1"/>
  <c r="F439" i="1"/>
  <c r="F438" i="1"/>
  <c r="F437" i="1"/>
  <c r="F436" i="1"/>
  <c r="I436" i="1" s="1"/>
  <c r="P435" i="1"/>
  <c r="F434" i="1"/>
  <c r="F433" i="1"/>
  <c r="F432" i="1"/>
  <c r="F431" i="1"/>
  <c r="I431" i="1" s="1"/>
  <c r="P430" i="1"/>
  <c r="F429" i="1"/>
  <c r="I429" i="1" s="1"/>
  <c r="F428" i="1"/>
  <c r="F427" i="1"/>
  <c r="I427" i="1" s="1"/>
  <c r="F426" i="1"/>
  <c r="P425" i="1"/>
  <c r="F424" i="1"/>
  <c r="I424" i="1" s="1"/>
  <c r="F423" i="1"/>
  <c r="F422" i="1"/>
  <c r="I422" i="1" s="1"/>
  <c r="F421" i="1"/>
  <c r="P420" i="1"/>
  <c r="F419" i="1"/>
  <c r="I419" i="1" s="1"/>
  <c r="F418" i="1"/>
  <c r="F417" i="1"/>
  <c r="I417" i="1" s="1"/>
  <c r="F416" i="1"/>
  <c r="F415" i="1"/>
  <c r="P414" i="1"/>
  <c r="F413" i="1"/>
  <c r="F412" i="1"/>
  <c r="F411" i="1"/>
  <c r="F410" i="1"/>
  <c r="F409" i="1"/>
  <c r="P408" i="1"/>
  <c r="F407" i="1"/>
  <c r="F406" i="1"/>
  <c r="F405" i="1"/>
  <c r="F404" i="1"/>
  <c r="P403" i="1"/>
  <c r="F402" i="1"/>
  <c r="F401" i="1"/>
  <c r="F400" i="1"/>
  <c r="F399" i="1"/>
  <c r="P398" i="1"/>
  <c r="F397" i="1"/>
  <c r="F396" i="1"/>
  <c r="F395" i="1"/>
  <c r="F394" i="1"/>
  <c r="F393" i="1"/>
  <c r="F392" i="1"/>
  <c r="P391" i="1"/>
  <c r="F390" i="1"/>
  <c r="F389" i="1"/>
  <c r="F388" i="1"/>
  <c r="F387" i="1"/>
  <c r="F386" i="1"/>
  <c r="F385" i="1"/>
  <c r="P384" i="1"/>
  <c r="F383" i="1"/>
  <c r="F382" i="1"/>
  <c r="F381" i="1"/>
  <c r="F380" i="1"/>
  <c r="F378" i="1"/>
  <c r="I378" i="1" s="1"/>
  <c r="F377" i="1"/>
  <c r="P376" i="1"/>
  <c r="F375" i="1"/>
  <c r="F374" i="1"/>
  <c r="F373" i="1"/>
  <c r="F372" i="1"/>
  <c r="F371" i="1"/>
  <c r="F370" i="1"/>
  <c r="P369" i="1"/>
  <c r="F368" i="1"/>
  <c r="F367" i="1"/>
  <c r="F366" i="1"/>
  <c r="F365" i="1"/>
  <c r="F364" i="1"/>
  <c r="F363" i="1"/>
  <c r="P362" i="1"/>
  <c r="F361" i="1"/>
  <c r="F360" i="1"/>
  <c r="F359" i="1"/>
  <c r="F358" i="1"/>
  <c r="F357" i="1"/>
  <c r="F356" i="1"/>
  <c r="P355" i="1"/>
  <c r="F354" i="1"/>
  <c r="F353" i="1"/>
  <c r="F352" i="1"/>
  <c r="F351" i="1"/>
  <c r="F350" i="1"/>
  <c r="F349" i="1"/>
  <c r="P348" i="1"/>
  <c r="F347" i="1"/>
  <c r="F346" i="1"/>
  <c r="F345" i="1"/>
  <c r="F344" i="1"/>
  <c r="F343" i="1"/>
  <c r="F342" i="1"/>
  <c r="P341" i="1"/>
  <c r="F340" i="1"/>
  <c r="F339" i="1"/>
  <c r="F338" i="1"/>
  <c r="F337" i="1"/>
  <c r="F335" i="1"/>
  <c r="F334" i="1"/>
  <c r="P333" i="1"/>
  <c r="F332" i="1"/>
  <c r="F331" i="1"/>
  <c r="F330" i="1"/>
  <c r="I330" i="1" s="1"/>
  <c r="F329" i="1"/>
  <c r="F328" i="1"/>
  <c r="I328" i="1" s="1"/>
  <c r="F327" i="1"/>
  <c r="P326" i="1"/>
  <c r="F325" i="1"/>
  <c r="F324" i="1"/>
  <c r="F323" i="1"/>
  <c r="P322" i="1"/>
  <c r="F321" i="1"/>
  <c r="F320" i="1"/>
  <c r="F319" i="1"/>
  <c r="P318" i="1"/>
  <c r="F317" i="1"/>
  <c r="F316" i="1"/>
  <c r="F315" i="1"/>
  <c r="I315" i="1" s="1"/>
  <c r="P314" i="1"/>
  <c r="F313" i="1"/>
  <c r="F312" i="1"/>
  <c r="F311" i="1"/>
  <c r="F310" i="1"/>
  <c r="P309" i="1"/>
  <c r="F308" i="1"/>
  <c r="F307" i="1"/>
  <c r="F306" i="1"/>
  <c r="P305" i="1"/>
  <c r="F304" i="1"/>
  <c r="F303" i="1"/>
  <c r="F302" i="1"/>
  <c r="P301" i="1"/>
  <c r="F300" i="1"/>
  <c r="F299" i="1"/>
  <c r="F298" i="1"/>
  <c r="F297" i="1"/>
  <c r="P296" i="1"/>
  <c r="F295" i="1"/>
  <c r="F294" i="1"/>
  <c r="F293" i="1"/>
  <c r="I293" i="1" s="1"/>
  <c r="F292" i="1"/>
  <c r="F291" i="1"/>
  <c r="I291" i="1" s="1"/>
  <c r="F290" i="1"/>
  <c r="P289" i="1"/>
  <c r="F288" i="1"/>
  <c r="F287" i="1"/>
  <c r="F286" i="1"/>
  <c r="I286" i="1" s="1"/>
  <c r="F285" i="1"/>
  <c r="F284" i="1"/>
  <c r="P283" i="1"/>
  <c r="F282" i="1"/>
  <c r="F281" i="1"/>
  <c r="F280" i="1"/>
  <c r="F279" i="1"/>
  <c r="F277" i="1"/>
  <c r="F276" i="1"/>
  <c r="P275" i="1"/>
  <c r="F274" i="1"/>
  <c r="F273" i="1"/>
  <c r="I273" i="1" s="1"/>
  <c r="F272" i="1"/>
  <c r="F271" i="1"/>
  <c r="I271" i="1" s="1"/>
  <c r="F270" i="1"/>
  <c r="F269" i="1"/>
  <c r="P268" i="1"/>
  <c r="F267" i="1"/>
  <c r="F266" i="1"/>
  <c r="F265" i="1"/>
  <c r="F264" i="1"/>
  <c r="I264" i="1" s="1"/>
  <c r="F263" i="1"/>
  <c r="F262" i="1"/>
  <c r="P261" i="1"/>
  <c r="P260" i="1"/>
  <c r="I197" i="1"/>
  <c r="I195" i="1"/>
  <c r="I194" i="1"/>
  <c r="I193" i="1"/>
  <c r="I192" i="1"/>
  <c r="I190" i="1"/>
  <c r="I188" i="1"/>
  <c r="I187" i="1"/>
  <c r="I186" i="1"/>
  <c r="I184" i="1"/>
  <c r="I182" i="1"/>
  <c r="I181" i="1"/>
  <c r="I179" i="1"/>
  <c r="I178" i="1"/>
  <c r="I176" i="1"/>
  <c r="I175" i="1"/>
  <c r="I167" i="1"/>
  <c r="I166" i="1"/>
  <c r="I165" i="1"/>
  <c r="I164" i="1"/>
  <c r="I163" i="1"/>
  <c r="I159" i="1"/>
  <c r="I82" i="1"/>
  <c r="I81" i="1"/>
  <c r="N468" i="1" l="1"/>
  <c r="N492" i="1"/>
  <c r="N502" i="1"/>
  <c r="I346" i="1"/>
  <c r="K346" i="1" s="1"/>
  <c r="N293" i="1"/>
  <c r="I335" i="1"/>
  <c r="N335" i="1" s="1"/>
  <c r="I337" i="1"/>
  <c r="N337" i="1" s="1"/>
  <c r="I421" i="1"/>
  <c r="N421" i="1" s="1"/>
  <c r="I360" i="1"/>
  <c r="K360" i="1" s="1"/>
  <c r="N462" i="1"/>
  <c r="K293" i="1"/>
  <c r="I344" i="1"/>
  <c r="N344" i="1" s="1"/>
  <c r="I352" i="1"/>
  <c r="N352" i="1" s="1"/>
  <c r="I374" i="1"/>
  <c r="N374" i="1" s="1"/>
  <c r="I407" i="1"/>
  <c r="N407" i="1" s="1"/>
  <c r="N458" i="1"/>
  <c r="I345" i="1"/>
  <c r="N345" i="1" s="1"/>
  <c r="I357" i="1"/>
  <c r="N357" i="1" s="1"/>
  <c r="I373" i="1"/>
  <c r="N373" i="1" s="1"/>
  <c r="K436" i="1"/>
  <c r="I449" i="1"/>
  <c r="K499" i="1"/>
  <c r="K500" i="1"/>
  <c r="K286" i="1"/>
  <c r="I365" i="1"/>
  <c r="K365" i="1" s="1"/>
  <c r="I451" i="1"/>
  <c r="N451" i="1" s="1"/>
  <c r="K492" i="1"/>
  <c r="N494" i="1"/>
  <c r="N499" i="1"/>
  <c r="N500" i="1"/>
  <c r="I308" i="1"/>
  <c r="K308" i="1" s="1"/>
  <c r="I364" i="1"/>
  <c r="N364" i="1" s="1"/>
  <c r="K419" i="1"/>
  <c r="I439" i="1"/>
  <c r="N439" i="1" s="1"/>
  <c r="N273" i="1"/>
  <c r="I282" i="1"/>
  <c r="K282" i="1" s="1"/>
  <c r="N286" i="1"/>
  <c r="I353" i="1"/>
  <c r="N353" i="1" s="1"/>
  <c r="I366" i="1"/>
  <c r="N366" i="1" s="1"/>
  <c r="I372" i="1"/>
  <c r="N372" i="1" s="1"/>
  <c r="I387" i="1"/>
  <c r="N387" i="1" s="1"/>
  <c r="I413" i="1"/>
  <c r="N413" i="1" s="1"/>
  <c r="I434" i="1"/>
  <c r="K434" i="1" s="1"/>
  <c r="K458" i="1"/>
  <c r="K502" i="1"/>
  <c r="I415" i="1"/>
  <c r="N415" i="1" s="1"/>
  <c r="K424" i="1"/>
  <c r="I496" i="1"/>
  <c r="K496" i="1" s="1"/>
  <c r="K506" i="1"/>
  <c r="I323" i="1"/>
  <c r="I358" i="1"/>
  <c r="N358" i="1" s="1"/>
  <c r="I402" i="1"/>
  <c r="N402" i="1" s="1"/>
  <c r="K431" i="1"/>
  <c r="I463" i="1"/>
  <c r="N463" i="1" s="1"/>
  <c r="I464" i="1"/>
  <c r="N464" i="1" s="1"/>
  <c r="N466" i="1"/>
  <c r="K467" i="1"/>
  <c r="K494" i="1"/>
  <c r="N506" i="1"/>
  <c r="K468" i="1"/>
  <c r="I263" i="1"/>
  <c r="N263" i="1" s="1"/>
  <c r="N264" i="1"/>
  <c r="K195" i="1"/>
  <c r="I266" i="1"/>
  <c r="N266" i="1" s="1"/>
  <c r="I270" i="1"/>
  <c r="I284" i="1"/>
  <c r="K284" i="1" s="1"/>
  <c r="K291" i="1"/>
  <c r="I313" i="1"/>
  <c r="K313" i="1" s="1"/>
  <c r="I316" i="1"/>
  <c r="I317" i="1"/>
  <c r="K317" i="1" s="1"/>
  <c r="K328" i="1"/>
  <c r="I339" i="1"/>
  <c r="N339" i="1" s="1"/>
  <c r="I343" i="1"/>
  <c r="N343" i="1" s="1"/>
  <c r="I351" i="1"/>
  <c r="K351" i="1" s="1"/>
  <c r="I359" i="1"/>
  <c r="N359" i="1" s="1"/>
  <c r="I367" i="1"/>
  <c r="N367" i="1" s="1"/>
  <c r="I371" i="1"/>
  <c r="N371" i="1" s="1"/>
  <c r="N378" i="1"/>
  <c r="I380" i="1"/>
  <c r="N380" i="1" s="1"/>
  <c r="I381" i="1"/>
  <c r="N381" i="1" s="1"/>
  <c r="I404" i="1"/>
  <c r="N404" i="1" s="1"/>
  <c r="I426" i="1"/>
  <c r="K426" i="1" s="1"/>
  <c r="K429" i="1"/>
  <c r="I441" i="1"/>
  <c r="N441" i="1" s="1"/>
  <c r="N456" i="1"/>
  <c r="I459" i="1"/>
  <c r="N459" i="1" s="1"/>
  <c r="I495" i="1"/>
  <c r="I497" i="1"/>
  <c r="I504" i="1"/>
  <c r="N194" i="1"/>
  <c r="N195" i="1"/>
  <c r="I277" i="1"/>
  <c r="I280" i="1"/>
  <c r="N280" i="1" s="1"/>
  <c r="N291" i="1"/>
  <c r="I298" i="1"/>
  <c r="K298" i="1" s="1"/>
  <c r="K330" i="1"/>
  <c r="I350" i="1"/>
  <c r="N350" i="1" s="1"/>
  <c r="I493" i="1"/>
  <c r="K493" i="1" s="1"/>
  <c r="I310" i="1"/>
  <c r="I312" i="1"/>
  <c r="I272" i="1"/>
  <c r="K272" i="1" s="1"/>
  <c r="I397" i="1"/>
  <c r="I446" i="1"/>
  <c r="I265" i="1"/>
  <c r="K265" i="1" s="1"/>
  <c r="I386" i="1"/>
  <c r="N386" i="1" s="1"/>
  <c r="I399" i="1"/>
  <c r="I321" i="1"/>
  <c r="I382" i="1"/>
  <c r="I392" i="1"/>
  <c r="N392" i="1" s="1"/>
  <c r="I444" i="1"/>
  <c r="N444" i="1" s="1"/>
  <c r="N271" i="1"/>
  <c r="F278" i="1"/>
  <c r="I288" i="1"/>
  <c r="K288" i="1" s="1"/>
  <c r="I303" i="1"/>
  <c r="K303" i="1" s="1"/>
  <c r="I307" i="1"/>
  <c r="K307" i="1" s="1"/>
  <c r="I390" i="1"/>
  <c r="I409" i="1"/>
  <c r="H470" i="1"/>
  <c r="I470" i="1" s="1"/>
  <c r="K192" i="1"/>
  <c r="F336" i="1"/>
  <c r="N419" i="1"/>
  <c r="N424" i="1"/>
  <c r="N431" i="1"/>
  <c r="N457" i="1"/>
  <c r="K466" i="1"/>
  <c r="N328" i="1"/>
  <c r="N330" i="1"/>
  <c r="N429" i="1"/>
  <c r="N436" i="1"/>
  <c r="K461" i="1"/>
  <c r="I454" i="1"/>
  <c r="N454" i="1" s="1"/>
  <c r="K456" i="1"/>
  <c r="K457" i="1"/>
  <c r="N467" i="1"/>
  <c r="I294" i="1"/>
  <c r="I262" i="1"/>
  <c r="I269" i="1"/>
  <c r="I276" i="1"/>
  <c r="I287" i="1"/>
  <c r="N193" i="1"/>
  <c r="K193" i="1"/>
  <c r="I292" i="1"/>
  <c r="I299" i="1"/>
  <c r="I267" i="1"/>
  <c r="I274" i="1"/>
  <c r="I285" i="1"/>
  <c r="I325" i="1"/>
  <c r="I332" i="1"/>
  <c r="I383" i="1"/>
  <c r="I388" i="1"/>
  <c r="K197" i="1"/>
  <c r="K264" i="1"/>
  <c r="K271" i="1"/>
  <c r="K273" i="1"/>
  <c r="I304" i="1"/>
  <c r="I306" i="1"/>
  <c r="I311" i="1"/>
  <c r="I319" i="1"/>
  <c r="I340" i="1"/>
  <c r="N340" i="1" s="1"/>
  <c r="I394" i="1"/>
  <c r="I400" i="1"/>
  <c r="I410" i="1"/>
  <c r="N186" i="1"/>
  <c r="N192" i="1"/>
  <c r="I279" i="1"/>
  <c r="I281" i="1"/>
  <c r="I290" i="1"/>
  <c r="I295" i="1"/>
  <c r="I297" i="1"/>
  <c r="I300" i="1"/>
  <c r="I302" i="1"/>
  <c r="I324" i="1"/>
  <c r="I327" i="1"/>
  <c r="K327" i="1" s="1"/>
  <c r="I329" i="1"/>
  <c r="I331" i="1"/>
  <c r="I334" i="1"/>
  <c r="K334" i="1" s="1"/>
  <c r="I338" i="1"/>
  <c r="I342" i="1"/>
  <c r="K342" i="1" s="1"/>
  <c r="I385" i="1"/>
  <c r="I393" i="1"/>
  <c r="I406" i="1"/>
  <c r="I412" i="1"/>
  <c r="I320" i="1"/>
  <c r="K315" i="1"/>
  <c r="N315" i="1"/>
  <c r="I389" i="1"/>
  <c r="I396" i="1"/>
  <c r="K378" i="1"/>
  <c r="F379" i="1"/>
  <c r="I395" i="1"/>
  <c r="I401" i="1"/>
  <c r="I405" i="1"/>
  <c r="I347" i="1"/>
  <c r="I349" i="1"/>
  <c r="I354" i="1"/>
  <c r="I356" i="1"/>
  <c r="N356" i="1" s="1"/>
  <c r="I361" i="1"/>
  <c r="I363" i="1"/>
  <c r="N363" i="1" s="1"/>
  <c r="I368" i="1"/>
  <c r="I370" i="1"/>
  <c r="N370" i="1" s="1"/>
  <c r="I375" i="1"/>
  <c r="I377" i="1"/>
  <c r="N377" i="1" s="1"/>
  <c r="I416" i="1"/>
  <c r="K416" i="1" s="1"/>
  <c r="N417" i="1"/>
  <c r="I418" i="1"/>
  <c r="N422" i="1"/>
  <c r="I423" i="1"/>
  <c r="K423" i="1" s="1"/>
  <c r="N427" i="1"/>
  <c r="I428" i="1"/>
  <c r="K428" i="1" s="1"/>
  <c r="I432" i="1"/>
  <c r="K432" i="1" s="1"/>
  <c r="I443" i="1"/>
  <c r="I453" i="1"/>
  <c r="N461" i="1"/>
  <c r="H472" i="1"/>
  <c r="I472" i="1" s="1"/>
  <c r="I411" i="1"/>
  <c r="N411" i="1" s="1"/>
  <c r="K417" i="1"/>
  <c r="K422" i="1"/>
  <c r="K427" i="1"/>
  <c r="I433" i="1"/>
  <c r="K433" i="1" s="1"/>
  <c r="I438" i="1"/>
  <c r="I448" i="1"/>
  <c r="I471" i="1"/>
  <c r="N471" i="1" s="1"/>
  <c r="I437" i="1"/>
  <c r="I442" i="1"/>
  <c r="I447" i="1"/>
  <c r="N447" i="1" s="1"/>
  <c r="I452" i="1"/>
  <c r="N452" i="1" s="1"/>
  <c r="K462" i="1"/>
  <c r="N197" i="1"/>
  <c r="K194" i="1"/>
  <c r="N188" i="1"/>
  <c r="K186" i="1"/>
  <c r="K187" i="1"/>
  <c r="K188" i="1"/>
  <c r="N187" i="1"/>
  <c r="K190" i="1"/>
  <c r="K178" i="1"/>
  <c r="N190" i="1"/>
  <c r="K184" i="1"/>
  <c r="N184" i="1"/>
  <c r="N181" i="1"/>
  <c r="K181" i="1"/>
  <c r="K182" i="1"/>
  <c r="N182" i="1"/>
  <c r="N178" i="1"/>
  <c r="K179" i="1"/>
  <c r="N179" i="1"/>
  <c r="N175" i="1"/>
  <c r="K164" i="1"/>
  <c r="K165" i="1"/>
  <c r="K167" i="1"/>
  <c r="K175" i="1"/>
  <c r="N164" i="1"/>
  <c r="N166" i="1"/>
  <c r="K176" i="1"/>
  <c r="N176" i="1"/>
  <c r="N163" i="1"/>
  <c r="N165" i="1"/>
  <c r="N167" i="1"/>
  <c r="K163" i="1"/>
  <c r="K166" i="1"/>
  <c r="K81" i="1"/>
  <c r="K159" i="1"/>
  <c r="N81" i="1"/>
  <c r="N159" i="1"/>
  <c r="K82" i="1"/>
  <c r="N82" i="1"/>
  <c r="N346" i="1" l="1"/>
  <c r="N397" i="1"/>
  <c r="K358" i="1"/>
  <c r="K387" i="1"/>
  <c r="K373" i="1"/>
  <c r="K439" i="1"/>
  <c r="K344" i="1"/>
  <c r="N317" i="1"/>
  <c r="K367" i="1"/>
  <c r="K371" i="1"/>
  <c r="N365" i="1"/>
  <c r="K335" i="1"/>
  <c r="N308" i="1"/>
  <c r="K352" i="1"/>
  <c r="K266" i="1"/>
  <c r="K381" i="1"/>
  <c r="N282" i="1"/>
  <c r="N284" i="1"/>
  <c r="K290" i="1"/>
  <c r="K409" i="1"/>
  <c r="K277" i="1"/>
  <c r="K382" i="1"/>
  <c r="N360" i="1"/>
  <c r="N316" i="1"/>
  <c r="K323" i="1"/>
  <c r="K413" i="1"/>
  <c r="K325" i="1"/>
  <c r="K364" i="1"/>
  <c r="K302" i="1"/>
  <c r="K372" i="1"/>
  <c r="N409" i="1"/>
  <c r="N313" i="1"/>
  <c r="K374" i="1"/>
  <c r="K310" i="1"/>
  <c r="K459" i="1"/>
  <c r="K345" i="1"/>
  <c r="K331" i="1"/>
  <c r="K280" i="1"/>
  <c r="K337" i="1"/>
  <c r="K329" i="1"/>
  <c r="K442" i="1"/>
  <c r="K357" i="1"/>
  <c r="N434" i="1"/>
  <c r="K421" i="1"/>
  <c r="K349" i="1"/>
  <c r="K380" i="1"/>
  <c r="K441" i="1"/>
  <c r="K449" i="1"/>
  <c r="K319" i="1"/>
  <c r="K399" i="1"/>
  <c r="N272" i="1"/>
  <c r="N449" i="1"/>
  <c r="N393" i="1"/>
  <c r="N311" i="1"/>
  <c r="K497" i="1"/>
  <c r="K404" i="1"/>
  <c r="I336" i="1"/>
  <c r="N336" i="1" s="1"/>
  <c r="K343" i="1"/>
  <c r="K407" i="1"/>
  <c r="K350" i="1"/>
  <c r="K389" i="1"/>
  <c r="K332" i="1"/>
  <c r="N306" i="1"/>
  <c r="N325" i="1"/>
  <c r="K402" i="1"/>
  <c r="N351" i="1"/>
  <c r="K312" i="1"/>
  <c r="K495" i="1"/>
  <c r="N497" i="1"/>
  <c r="N443" i="1"/>
  <c r="K393" i="1"/>
  <c r="N382" i="1"/>
  <c r="K443" i="1"/>
  <c r="K287" i="1"/>
  <c r="K269" i="1"/>
  <c r="N294" i="1"/>
  <c r="K390" i="1"/>
  <c r="N495" i="1"/>
  <c r="N298" i="1"/>
  <c r="K306" i="1"/>
  <c r="N496" i="1"/>
  <c r="K451" i="1"/>
  <c r="K279" i="1"/>
  <c r="N292" i="1"/>
  <c r="N276" i="1"/>
  <c r="N323" i="1"/>
  <c r="K464" i="1"/>
  <c r="K448" i="1"/>
  <c r="K366" i="1"/>
  <c r="K359" i="1"/>
  <c r="N320" i="1"/>
  <c r="N412" i="1"/>
  <c r="N406" i="1"/>
  <c r="N385" i="1"/>
  <c r="N394" i="1"/>
  <c r="K292" i="1"/>
  <c r="K463" i="1"/>
  <c r="K316" i="1"/>
  <c r="N265" i="1"/>
  <c r="K392" i="1"/>
  <c r="K415" i="1"/>
  <c r="K395" i="1"/>
  <c r="N405" i="1"/>
  <c r="N395" i="1"/>
  <c r="K295" i="1"/>
  <c r="N319" i="1"/>
  <c r="K385" i="1"/>
  <c r="K281" i="1"/>
  <c r="K353" i="1"/>
  <c r="K339" i="1"/>
  <c r="N312" i="1"/>
  <c r="K504" i="1"/>
  <c r="N504" i="1"/>
  <c r="N448" i="1"/>
  <c r="N416" i="1"/>
  <c r="K401" i="1"/>
  <c r="N338" i="1"/>
  <c r="K410" i="1"/>
  <c r="K394" i="1"/>
  <c r="K388" i="1"/>
  <c r="K274" i="1"/>
  <c r="K386" i="1"/>
  <c r="K446" i="1"/>
  <c r="K397" i="1"/>
  <c r="K471" i="1"/>
  <c r="N432" i="1"/>
  <c r="N302" i="1"/>
  <c r="N297" i="1"/>
  <c r="N329" i="1"/>
  <c r="K324" i="1"/>
  <c r="N304" i="1"/>
  <c r="K285" i="1"/>
  <c r="K276" i="1"/>
  <c r="K444" i="1"/>
  <c r="N277" i="1"/>
  <c r="K263" i="1"/>
  <c r="K270" i="1"/>
  <c r="N426" i="1"/>
  <c r="N438" i="1"/>
  <c r="N453" i="1"/>
  <c r="N327" i="1"/>
  <c r="N299" i="1"/>
  <c r="N270" i="1"/>
  <c r="N493" i="1"/>
  <c r="N470" i="1"/>
  <c r="K470" i="1"/>
  <c r="K454" i="1"/>
  <c r="K396" i="1"/>
  <c r="K340" i="1"/>
  <c r="N300" i="1"/>
  <c r="N295" i="1"/>
  <c r="N388" i="1"/>
  <c r="N383" i="1"/>
  <c r="N349" i="1"/>
  <c r="N285" i="1"/>
  <c r="I278" i="1"/>
  <c r="N321" i="1"/>
  <c r="N310" i="1"/>
  <c r="K453" i="1"/>
  <c r="N423" i="1"/>
  <c r="K405" i="1"/>
  <c r="N396" i="1"/>
  <c r="K406" i="1"/>
  <c r="N324" i="1"/>
  <c r="K400" i="1"/>
  <c r="K320" i="1"/>
  <c r="K383" i="1"/>
  <c r="N274" i="1"/>
  <c r="N267" i="1"/>
  <c r="K299" i="1"/>
  <c r="N287" i="1"/>
  <c r="K262" i="1"/>
  <c r="N390" i="1"/>
  <c r="N307" i="1"/>
  <c r="N446" i="1"/>
  <c r="K438" i="1"/>
  <c r="N401" i="1"/>
  <c r="N389" i="1"/>
  <c r="K300" i="1"/>
  <c r="K412" i="1"/>
  <c r="N342" i="1"/>
  <c r="N410" i="1"/>
  <c r="N400" i="1"/>
  <c r="K338" i="1"/>
  <c r="N331" i="1"/>
  <c r="N332" i="1"/>
  <c r="K267" i="1"/>
  <c r="N269" i="1"/>
  <c r="N262" i="1"/>
  <c r="K294" i="1"/>
  <c r="N303" i="1"/>
  <c r="N288" i="1"/>
  <c r="N399" i="1"/>
  <c r="K321" i="1"/>
  <c r="N472" i="1"/>
  <c r="K472" i="1"/>
  <c r="N368" i="1"/>
  <c r="K368" i="1"/>
  <c r="N354" i="1"/>
  <c r="K354" i="1"/>
  <c r="N418" i="1"/>
  <c r="K418" i="1"/>
  <c r="N437" i="1"/>
  <c r="K437" i="1"/>
  <c r="N375" i="1"/>
  <c r="K375" i="1"/>
  <c r="N361" i="1"/>
  <c r="K361" i="1"/>
  <c r="N347" i="1"/>
  <c r="K347" i="1"/>
  <c r="K411" i="1"/>
  <c r="I379" i="1"/>
  <c r="K377" i="1"/>
  <c r="K363" i="1"/>
  <c r="K311" i="1"/>
  <c r="K304" i="1"/>
  <c r="K297" i="1"/>
  <c r="N334" i="1"/>
  <c r="N442" i="1"/>
  <c r="N290" i="1"/>
  <c r="N281" i="1"/>
  <c r="K452" i="1"/>
  <c r="K447" i="1"/>
  <c r="N433" i="1"/>
  <c r="N428" i="1"/>
  <c r="K370" i="1"/>
  <c r="K356" i="1"/>
  <c r="N279" i="1"/>
  <c r="K278" i="1" l="1"/>
  <c r="N278" i="1"/>
  <c r="K379" i="1"/>
  <c r="K336" i="1"/>
  <c r="N379" i="1"/>
  <c r="I565" i="1" l="1"/>
  <c r="I563" i="1"/>
  <c r="I564" i="1"/>
  <c r="F253" i="1"/>
  <c r="I252" i="1"/>
  <c r="F250" i="1"/>
  <c r="F157" i="1"/>
  <c r="F156" i="1"/>
  <c r="F155" i="1"/>
  <c r="F121" i="1"/>
  <c r="F79" i="1"/>
  <c r="F254" i="1"/>
  <c r="H1066" i="1"/>
  <c r="I1066" i="1" s="1"/>
  <c r="P1065" i="1"/>
  <c r="O1065" i="1"/>
  <c r="N1065" i="1"/>
  <c r="M1065" i="1"/>
  <c r="K1065" i="1"/>
  <c r="J1065" i="1"/>
  <c r="I1065" i="1"/>
  <c r="H1065" i="1"/>
  <c r="M580" i="1"/>
  <c r="J580" i="1"/>
  <c r="H580" i="1"/>
  <c r="I580" i="1" s="1"/>
  <c r="H569" i="1"/>
  <c r="I569" i="1" s="1"/>
  <c r="P568" i="1"/>
  <c r="O568" i="1"/>
  <c r="N568" i="1"/>
  <c r="M568" i="1"/>
  <c r="L568" i="1"/>
  <c r="K568" i="1"/>
  <c r="J568" i="1"/>
  <c r="I568" i="1"/>
  <c r="H568" i="1"/>
  <c r="I566" i="1"/>
  <c r="I562" i="1"/>
  <c r="I561" i="1"/>
  <c r="I560" i="1"/>
  <c r="P559" i="1"/>
  <c r="O559" i="1"/>
  <c r="N559" i="1"/>
  <c r="M559" i="1"/>
  <c r="L559" i="1"/>
  <c r="K559" i="1"/>
  <c r="J559" i="1"/>
  <c r="I559" i="1"/>
  <c r="I573" i="1"/>
  <c r="I558" i="1"/>
  <c r="I557" i="1"/>
  <c r="I556" i="1"/>
  <c r="I555" i="1"/>
  <c r="I575" i="1"/>
  <c r="I574" i="1"/>
  <c r="I554" i="1"/>
  <c r="I553" i="1"/>
  <c r="I552" i="1"/>
  <c r="I551" i="1"/>
  <c r="I550" i="1"/>
  <c r="I549" i="1"/>
  <c r="I548" i="1"/>
  <c r="I567" i="1"/>
  <c r="I547" i="1"/>
  <c r="I546" i="1"/>
  <c r="I545" i="1"/>
  <c r="I544" i="1"/>
  <c r="I543" i="1"/>
  <c r="I542" i="1"/>
  <c r="I572" i="1"/>
  <c r="I541" i="1"/>
  <c r="I540" i="1"/>
  <c r="I527" i="1"/>
  <c r="I526" i="1"/>
  <c r="I525" i="1"/>
  <c r="I539" i="1"/>
  <c r="I538" i="1"/>
  <c r="I571" i="1"/>
  <c r="H533" i="1"/>
  <c r="I533" i="1" s="1"/>
  <c r="H532" i="1"/>
  <c r="I532" i="1" s="1"/>
  <c r="H523" i="1"/>
  <c r="I523" i="1" s="1"/>
  <c r="P522" i="1"/>
  <c r="O522" i="1"/>
  <c r="N522" i="1"/>
  <c r="M522" i="1"/>
  <c r="L522" i="1"/>
  <c r="K522" i="1"/>
  <c r="J522" i="1"/>
  <c r="I522" i="1"/>
  <c r="H522" i="1"/>
  <c r="H519" i="1"/>
  <c r="I519" i="1" s="1"/>
  <c r="H518" i="1"/>
  <c r="I518" i="1" s="1"/>
  <c r="H517" i="1"/>
  <c r="I517" i="1" s="1"/>
  <c r="H516" i="1"/>
  <c r="I516" i="1" s="1"/>
  <c r="H515" i="1"/>
  <c r="I515" i="1" s="1"/>
  <c r="H514" i="1"/>
  <c r="I514" i="1" s="1"/>
  <c r="H513" i="1"/>
  <c r="I513" i="1" s="1"/>
  <c r="H512" i="1"/>
  <c r="I512" i="1" s="1"/>
  <c r="H511" i="1"/>
  <c r="I511" i="1" s="1"/>
  <c r="I484" i="1"/>
  <c r="I481" i="1"/>
  <c r="I489" i="1"/>
  <c r="I488" i="1"/>
  <c r="P487" i="1"/>
  <c r="O487" i="1"/>
  <c r="N487" i="1"/>
  <c r="M487" i="1"/>
  <c r="L487" i="1"/>
  <c r="K487" i="1"/>
  <c r="J487" i="1"/>
  <c r="I487" i="1"/>
  <c r="H487" i="1"/>
  <c r="I486" i="1"/>
  <c r="P485" i="1"/>
  <c r="O485" i="1"/>
  <c r="N485" i="1"/>
  <c r="M485" i="1"/>
  <c r="L485" i="1"/>
  <c r="K485" i="1"/>
  <c r="J485" i="1"/>
  <c r="I485" i="1"/>
  <c r="H485" i="1"/>
  <c r="I483" i="1"/>
  <c r="P482" i="1"/>
  <c r="O482" i="1"/>
  <c r="N482" i="1"/>
  <c r="M482" i="1"/>
  <c r="L482" i="1"/>
  <c r="K482" i="1"/>
  <c r="J482" i="1"/>
  <c r="I482" i="1"/>
  <c r="H482" i="1"/>
  <c r="I480" i="1"/>
  <c r="P479" i="1"/>
  <c r="O479" i="1"/>
  <c r="N479" i="1"/>
  <c r="M479" i="1"/>
  <c r="L479" i="1"/>
  <c r="K479" i="1"/>
  <c r="J479" i="1"/>
  <c r="I479" i="1"/>
  <c r="H479" i="1"/>
  <c r="I478" i="1"/>
  <c r="I477" i="1"/>
  <c r="F476" i="1"/>
  <c r="I475" i="1"/>
  <c r="I474" i="1"/>
  <c r="P473" i="1"/>
  <c r="O473" i="1"/>
  <c r="N473" i="1"/>
  <c r="M473" i="1"/>
  <c r="L473" i="1"/>
  <c r="K473" i="1"/>
  <c r="J473" i="1"/>
  <c r="I473" i="1"/>
  <c r="H473" i="1"/>
  <c r="P255" i="1"/>
  <c r="O255" i="1"/>
  <c r="N255" i="1"/>
  <c r="M255" i="1"/>
  <c r="L255" i="1"/>
  <c r="K255" i="1"/>
  <c r="J255" i="1"/>
  <c r="I255" i="1"/>
  <c r="H255" i="1"/>
  <c r="H249" i="1"/>
  <c r="I249" i="1" s="1"/>
  <c r="P248" i="1"/>
  <c r="O248" i="1"/>
  <c r="N248" i="1"/>
  <c r="M248" i="1"/>
  <c r="L248" i="1"/>
  <c r="K248" i="1"/>
  <c r="J248" i="1"/>
  <c r="I248" i="1"/>
  <c r="H248" i="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2" i="1"/>
  <c r="I232"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P217" i="1"/>
  <c r="O217" i="1"/>
  <c r="N217" i="1"/>
  <c r="M217" i="1"/>
  <c r="L217" i="1"/>
  <c r="K217" i="1"/>
  <c r="J217" i="1"/>
  <c r="I217" i="1"/>
  <c r="H217" i="1"/>
  <c r="H216" i="1"/>
  <c r="I216" i="1" s="1"/>
  <c r="H215" i="1"/>
  <c r="I215" i="1" s="1"/>
  <c r="P214" i="1"/>
  <c r="O214" i="1"/>
  <c r="N214" i="1"/>
  <c r="M214" i="1"/>
  <c r="L214" i="1"/>
  <c r="K214" i="1"/>
  <c r="J214" i="1"/>
  <c r="I214" i="1"/>
  <c r="H214" i="1"/>
  <c r="H213" i="1"/>
  <c r="I213" i="1" s="1"/>
  <c r="P212" i="1"/>
  <c r="O212" i="1"/>
  <c r="N212" i="1"/>
  <c r="M212" i="1"/>
  <c r="L212" i="1"/>
  <c r="K212" i="1"/>
  <c r="J212" i="1"/>
  <c r="I212" i="1"/>
  <c r="H212" i="1"/>
  <c r="I162" i="1"/>
  <c r="I161" i="1"/>
  <c r="K1066" i="1" l="1"/>
  <c r="N1066" i="1"/>
  <c r="K565" i="1"/>
  <c r="N565" i="1"/>
  <c r="K563" i="1"/>
  <c r="N563" i="1"/>
  <c r="I253" i="1"/>
  <c r="N253" i="1" s="1"/>
  <c r="K564" i="1"/>
  <c r="N564" i="1"/>
  <c r="I250" i="1"/>
  <c r="K250" i="1" s="1"/>
  <c r="N252" i="1"/>
  <c r="K252" i="1"/>
  <c r="N546" i="1"/>
  <c r="K526" i="1"/>
  <c r="K546" i="1"/>
  <c r="N525" i="1"/>
  <c r="N527" i="1"/>
  <c r="N557" i="1"/>
  <c r="K569" i="1"/>
  <c r="K547" i="1"/>
  <c r="K480" i="1"/>
  <c r="K486" i="1"/>
  <c r="K571" i="1"/>
  <c r="K525" i="1"/>
  <c r="N544" i="1"/>
  <c r="K552" i="1"/>
  <c r="K575" i="1"/>
  <c r="K557" i="1"/>
  <c r="K558" i="1"/>
  <c r="N547" i="1"/>
  <c r="N567" i="1"/>
  <c r="N548" i="1"/>
  <c r="N549" i="1"/>
  <c r="N550" i="1"/>
  <c r="N551" i="1"/>
  <c r="N553" i="1"/>
  <c r="N574" i="1"/>
  <c r="N575" i="1"/>
  <c r="N555" i="1"/>
  <c r="K580" i="1"/>
  <c r="K527" i="1"/>
  <c r="K540" i="1"/>
  <c r="N573" i="1"/>
  <c r="N580" i="1"/>
  <c r="K572" i="1"/>
  <c r="K544" i="1"/>
  <c r="K545" i="1"/>
  <c r="K553" i="1"/>
  <c r="K554" i="1"/>
  <c r="K560" i="1"/>
  <c r="K561" i="1"/>
  <c r="K566" i="1"/>
  <c r="N569" i="1"/>
  <c r="N561" i="1"/>
  <c r="N562" i="1"/>
  <c r="N541" i="1"/>
  <c r="N572" i="1"/>
  <c r="N542" i="1"/>
  <c r="N571" i="1"/>
  <c r="N538" i="1"/>
  <c r="N539" i="1"/>
  <c r="K548" i="1"/>
  <c r="K551" i="1"/>
  <c r="K573" i="1"/>
  <c r="K234" i="1"/>
  <c r="K511" i="1"/>
  <c r="K513" i="1"/>
  <c r="K514" i="1"/>
  <c r="K515" i="1"/>
  <c r="K517" i="1"/>
  <c r="K538" i="1"/>
  <c r="K539" i="1"/>
  <c r="N526" i="1"/>
  <c r="K541" i="1"/>
  <c r="N543" i="1"/>
  <c r="K549" i="1"/>
  <c r="K550" i="1"/>
  <c r="N552" i="1"/>
  <c r="K574" i="1"/>
  <c r="N556" i="1"/>
  <c r="N560" i="1"/>
  <c r="K562" i="1"/>
  <c r="N540" i="1"/>
  <c r="N554" i="1"/>
  <c r="K532" i="1"/>
  <c r="K542" i="1"/>
  <c r="K543" i="1"/>
  <c r="N545" i="1"/>
  <c r="K567" i="1"/>
  <c r="K555" i="1"/>
  <c r="K556" i="1"/>
  <c r="N558" i="1"/>
  <c r="N566" i="1"/>
  <c r="K518" i="1"/>
  <c r="N533" i="1"/>
  <c r="K533" i="1"/>
  <c r="K512" i="1"/>
  <c r="K516" i="1"/>
  <c r="N532" i="1"/>
  <c r="N516" i="1"/>
  <c r="N514" i="1"/>
  <c r="N517" i="1"/>
  <c r="K227" i="1"/>
  <c r="N512" i="1"/>
  <c r="N515" i="1"/>
  <c r="K523" i="1"/>
  <c r="N511" i="1"/>
  <c r="N519" i="1"/>
  <c r="N513" i="1"/>
  <c r="N518" i="1"/>
  <c r="K519" i="1"/>
  <c r="N523" i="1"/>
  <c r="K218" i="1"/>
  <c r="K229" i="1"/>
  <c r="K231" i="1"/>
  <c r="K236" i="1"/>
  <c r="K238" i="1"/>
  <c r="K240" i="1"/>
  <c r="K241" i="1"/>
  <c r="K242" i="1"/>
  <c r="N480" i="1"/>
  <c r="N483" i="1"/>
  <c r="K213" i="1"/>
  <c r="K220" i="1"/>
  <c r="K222" i="1"/>
  <c r="K224" i="1"/>
  <c r="K225" i="1"/>
  <c r="K226" i="1"/>
  <c r="K245" i="1"/>
  <c r="K247" i="1"/>
  <c r="K488" i="1"/>
  <c r="K489" i="1"/>
  <c r="K484" i="1"/>
  <c r="K216" i="1"/>
  <c r="N488" i="1"/>
  <c r="N481" i="1"/>
  <c r="N484" i="1"/>
  <c r="K477" i="1"/>
  <c r="K478" i="1"/>
  <c r="K483" i="1"/>
  <c r="K481" i="1"/>
  <c r="K221" i="1"/>
  <c r="K228" i="1"/>
  <c r="K237" i="1"/>
  <c r="K244" i="1"/>
  <c r="K474" i="1"/>
  <c r="K475" i="1"/>
  <c r="N477" i="1"/>
  <c r="N478" i="1"/>
  <c r="N486" i="1"/>
  <c r="N489" i="1"/>
  <c r="K230" i="1"/>
  <c r="K232" i="1"/>
  <c r="K233" i="1"/>
  <c r="K246" i="1"/>
  <c r="N474" i="1"/>
  <c r="N475" i="1"/>
  <c r="K219" i="1"/>
  <c r="K235" i="1"/>
  <c r="K215" i="1"/>
  <c r="K223" i="1"/>
  <c r="K239" i="1"/>
  <c r="K249" i="1"/>
  <c r="K243" i="1"/>
  <c r="N227" i="1"/>
  <c r="N230" i="1"/>
  <c r="N238" i="1"/>
  <c r="N243" i="1"/>
  <c r="N225" i="1"/>
  <c r="N228" i="1"/>
  <c r="N244" i="1"/>
  <c r="N219" i="1"/>
  <c r="N222" i="1"/>
  <c r="N235" i="1"/>
  <c r="K162" i="1"/>
  <c r="N236" i="1"/>
  <c r="N241" i="1"/>
  <c r="N162" i="1"/>
  <c r="N223" i="1"/>
  <c r="N242" i="1"/>
  <c r="N247" i="1"/>
  <c r="N249" i="1"/>
  <c r="N246" i="1"/>
  <c r="K161" i="1"/>
  <c r="N220" i="1"/>
  <c r="N233" i="1"/>
  <c r="N161" i="1"/>
  <c r="N213" i="1"/>
  <c r="N215" i="1"/>
  <c r="N218" i="1"/>
  <c r="N226" i="1"/>
  <c r="N231" i="1"/>
  <c r="N234" i="1"/>
  <c r="N239" i="1"/>
  <c r="N216" i="1"/>
  <c r="N221" i="1"/>
  <c r="N224" i="1"/>
  <c r="N229" i="1"/>
  <c r="N232" i="1"/>
  <c r="N237" i="1"/>
  <c r="N240" i="1"/>
  <c r="N245" i="1"/>
  <c r="I476" i="1"/>
  <c r="K476" i="1" s="1"/>
  <c r="N250" i="1" l="1"/>
  <c r="K253" i="1"/>
  <c r="N476" i="1"/>
  <c r="I139" i="1" l="1"/>
  <c r="P141" i="1"/>
  <c r="O141" i="1"/>
  <c r="N141" i="1"/>
  <c r="M141" i="1"/>
  <c r="L141" i="1"/>
  <c r="K141" i="1"/>
  <c r="J141" i="1"/>
  <c r="I141" i="1"/>
  <c r="H141" i="1"/>
  <c r="P127" i="1"/>
  <c r="O127" i="1"/>
  <c r="N127" i="1"/>
  <c r="M127" i="1"/>
  <c r="L127" i="1"/>
  <c r="K127" i="1"/>
  <c r="J127" i="1"/>
  <c r="I127" i="1"/>
  <c r="H127" i="1"/>
  <c r="P124" i="1"/>
  <c r="O124" i="1"/>
  <c r="N124" i="1"/>
  <c r="M124" i="1"/>
  <c r="L124" i="1"/>
  <c r="K124" i="1"/>
  <c r="J124" i="1"/>
  <c r="I124" i="1"/>
  <c r="H124" i="1"/>
  <c r="F117" i="1"/>
  <c r="F116" i="1"/>
  <c r="P150" i="1"/>
  <c r="O150" i="1"/>
  <c r="N150" i="1"/>
  <c r="M150" i="1"/>
  <c r="L150" i="1"/>
  <c r="K150" i="1"/>
  <c r="J150" i="1"/>
  <c r="I150" i="1"/>
  <c r="H150" i="1"/>
  <c r="P95" i="1"/>
  <c r="O95" i="1"/>
  <c r="N95" i="1"/>
  <c r="M95" i="1"/>
  <c r="L95" i="1"/>
  <c r="K95" i="1"/>
  <c r="J95" i="1"/>
  <c r="I95" i="1"/>
  <c r="H95" i="1"/>
  <c r="I89" i="1"/>
  <c r="I88" i="1"/>
  <c r="P87" i="1"/>
  <c r="O87" i="1"/>
  <c r="N87" i="1"/>
  <c r="M87" i="1"/>
  <c r="L87" i="1"/>
  <c r="K87" i="1"/>
  <c r="J87" i="1"/>
  <c r="I87" i="1"/>
  <c r="H87" i="1"/>
  <c r="I92" i="1"/>
  <c r="I91" i="1"/>
  <c r="I90" i="1"/>
  <c r="M94" i="1"/>
  <c r="J94" i="1"/>
  <c r="H94" i="1"/>
  <c r="I94" i="1" s="1"/>
  <c r="I93" i="1"/>
  <c r="H98" i="1"/>
  <c r="I98" i="1" s="1"/>
  <c r="H97" i="1"/>
  <c r="I97" i="1" s="1"/>
  <c r="H96" i="1"/>
  <c r="I96" i="1" s="1"/>
  <c r="H101" i="1"/>
  <c r="I101" i="1" s="1"/>
  <c r="H100" i="1"/>
  <c r="I100" i="1" s="1"/>
  <c r="H99" i="1"/>
  <c r="I99" i="1" s="1"/>
  <c r="H104" i="1"/>
  <c r="I104" i="1" s="1"/>
  <c r="H103" i="1"/>
  <c r="I103" i="1" s="1"/>
  <c r="H102" i="1"/>
  <c r="I102" i="1" s="1"/>
  <c r="H107" i="1"/>
  <c r="I107" i="1" s="1"/>
  <c r="H106" i="1"/>
  <c r="I106" i="1" s="1"/>
  <c r="H105" i="1"/>
  <c r="I105" i="1" s="1"/>
  <c r="I110" i="1"/>
  <c r="P109" i="1"/>
  <c r="O109" i="1"/>
  <c r="N109" i="1"/>
  <c r="M109" i="1"/>
  <c r="L109" i="1"/>
  <c r="K109" i="1"/>
  <c r="J109" i="1"/>
  <c r="I109" i="1"/>
  <c r="H109" i="1"/>
  <c r="H108" i="1"/>
  <c r="I108" i="1" s="1"/>
  <c r="I113" i="1"/>
  <c r="I112" i="1"/>
  <c r="I111" i="1"/>
  <c r="I115" i="1"/>
  <c r="I114" i="1"/>
  <c r="I119" i="1"/>
  <c r="I118" i="1"/>
  <c r="I122" i="1"/>
  <c r="I121" i="1"/>
  <c r="I120" i="1"/>
  <c r="I126" i="1"/>
  <c r="I125" i="1"/>
  <c r="I123" i="1"/>
  <c r="I130" i="1"/>
  <c r="H129" i="1"/>
  <c r="I129" i="1" s="1"/>
  <c r="H128" i="1"/>
  <c r="I128" i="1" s="1"/>
  <c r="I133" i="1"/>
  <c r="I132" i="1"/>
  <c r="I131" i="1"/>
  <c r="I136" i="1"/>
  <c r="I135" i="1"/>
  <c r="I134" i="1"/>
  <c r="I140" i="1"/>
  <c r="I138" i="1"/>
  <c r="I137" i="1"/>
  <c r="I144" i="1"/>
  <c r="I143" i="1"/>
  <c r="I142" i="1"/>
  <c r="I147" i="1"/>
  <c r="I146" i="1"/>
  <c r="I145" i="1"/>
  <c r="I148" i="1"/>
  <c r="H149" i="1"/>
  <c r="I149" i="1" s="1"/>
  <c r="H153" i="1"/>
  <c r="I153" i="1" s="1"/>
  <c r="H151" i="1"/>
  <c r="I151" i="1" s="1"/>
  <c r="I63" i="1"/>
  <c r="F969" i="1"/>
  <c r="I73" i="1"/>
  <c r="F61" i="1"/>
  <c r="F60" i="1"/>
  <c r="I60" i="1" s="1"/>
  <c r="F59" i="1"/>
  <c r="F58" i="1"/>
  <c r="F57" i="1"/>
  <c r="F56" i="1"/>
  <c r="F55" i="1"/>
  <c r="I55" i="1" s="1"/>
  <c r="F54" i="1"/>
  <c r="F53" i="1"/>
  <c r="F52" i="1"/>
  <c r="I52" i="1" s="1"/>
  <c r="F51" i="1"/>
  <c r="I51" i="1" s="1"/>
  <c r="F50" i="1"/>
  <c r="F49" i="1"/>
  <c r="F48" i="1"/>
  <c r="F47" i="1"/>
  <c r="I64" i="1"/>
  <c r="I62" i="1"/>
  <c r="P46" i="1"/>
  <c r="O46" i="1"/>
  <c r="N46" i="1"/>
  <c r="M46" i="1"/>
  <c r="L46" i="1"/>
  <c r="K46" i="1"/>
  <c r="J46" i="1"/>
  <c r="I46" i="1"/>
  <c r="H46" i="1"/>
  <c r="F45" i="1"/>
  <c r="F44" i="1"/>
  <c r="F43" i="1"/>
  <c r="F41" i="1"/>
  <c r="F40" i="1"/>
  <c r="F39" i="1"/>
  <c r="F37" i="1"/>
  <c r="F36" i="1"/>
  <c r="F35" i="1"/>
  <c r="F34" i="1"/>
  <c r="F33" i="1"/>
  <c r="I33" i="1" s="1"/>
  <c r="F32" i="1"/>
  <c r="I71" i="1"/>
  <c r="I69" i="1"/>
  <c r="I68" i="1"/>
  <c r="I67" i="1"/>
  <c r="J42" i="1"/>
  <c r="M42" i="1"/>
  <c r="I38" i="1"/>
  <c r="I66" i="1"/>
  <c r="I42" i="1"/>
  <c r="I70" i="1"/>
  <c r="I72" i="1"/>
  <c r="F1034" i="1"/>
  <c r="F1029" i="1"/>
  <c r="I1030" i="1"/>
  <c r="F1024" i="1"/>
  <c r="F1025" i="1"/>
  <c r="F1027" i="1"/>
  <c r="I1032" i="1"/>
  <c r="I1035" i="1"/>
  <c r="I1039" i="1"/>
  <c r="I1038" i="1"/>
  <c r="H1036" i="1"/>
  <c r="I1036" i="1" s="1"/>
  <c r="J1057" i="1"/>
  <c r="H1057" i="1"/>
  <c r="I1057" i="1" s="1"/>
  <c r="J1056" i="1"/>
  <c r="H1056" i="1"/>
  <c r="I1056" i="1" s="1"/>
  <c r="J1055" i="1"/>
  <c r="H1055" i="1"/>
  <c r="I1055" i="1" s="1"/>
  <c r="J1054" i="1"/>
  <c r="H1054" i="1"/>
  <c r="I1054" i="1" s="1"/>
  <c r="F1043" i="1"/>
  <c r="F1044" i="1" s="1"/>
  <c r="J1051" i="1"/>
  <c r="H1051" i="1"/>
  <c r="I1051" i="1" s="1"/>
  <c r="J1050" i="1"/>
  <c r="H1050" i="1"/>
  <c r="I1050" i="1" s="1"/>
  <c r="J1049" i="1"/>
  <c r="H1049" i="1"/>
  <c r="I1049" i="1" s="1"/>
  <c r="J1058" i="1"/>
  <c r="H1058" i="1"/>
  <c r="I1058" i="1" s="1"/>
  <c r="J1053" i="1"/>
  <c r="H1053" i="1"/>
  <c r="I1053" i="1" s="1"/>
  <c r="J1052" i="1"/>
  <c r="H1052" i="1"/>
  <c r="I1052" i="1" s="1"/>
  <c r="J1061" i="1"/>
  <c r="H1061" i="1"/>
  <c r="I1061" i="1" s="1"/>
  <c r="J1060" i="1"/>
  <c r="H1060" i="1"/>
  <c r="I1060" i="1" s="1"/>
  <c r="J1059" i="1"/>
  <c r="H1059" i="1"/>
  <c r="I1059" i="1" s="1"/>
  <c r="J1064" i="1"/>
  <c r="H1064" i="1"/>
  <c r="I1064" i="1" s="1"/>
  <c r="J1063" i="1"/>
  <c r="H1063" i="1"/>
  <c r="I1063" i="1" s="1"/>
  <c r="J1062" i="1"/>
  <c r="H1062" i="1"/>
  <c r="I1062" i="1" s="1"/>
  <c r="F978" i="1"/>
  <c r="F976" i="1"/>
  <c r="J975" i="1"/>
  <c r="H975" i="1"/>
  <c r="I975" i="1" s="1"/>
  <c r="H1080" i="1"/>
  <c r="I1080" i="1" s="1"/>
  <c r="H1079" i="1"/>
  <c r="I1079" i="1" s="1"/>
  <c r="H1078" i="1"/>
  <c r="I1078" i="1" s="1"/>
  <c r="H1077" i="1"/>
  <c r="I1077" i="1" s="1"/>
  <c r="H1076" i="1"/>
  <c r="I1076" i="1" s="1"/>
  <c r="H1075" i="1"/>
  <c r="I1075" i="1" s="1"/>
  <c r="M1086" i="1"/>
  <c r="J1086" i="1"/>
  <c r="H1086" i="1"/>
  <c r="I1086" i="1" s="1"/>
  <c r="M1085" i="1"/>
  <c r="J1085" i="1"/>
  <c r="H1085" i="1"/>
  <c r="I1085" i="1" s="1"/>
  <c r="M1084" i="1"/>
  <c r="J1084" i="1"/>
  <c r="H1084" i="1"/>
  <c r="I1084" i="1" s="1"/>
  <c r="H1083" i="1"/>
  <c r="I1083" i="1" s="1"/>
  <c r="M1082" i="1"/>
  <c r="J1082" i="1"/>
  <c r="H1082" i="1"/>
  <c r="I1082" i="1" s="1"/>
  <c r="M1081" i="1"/>
  <c r="J1081" i="1"/>
  <c r="H1081" i="1"/>
  <c r="I1081" i="1" s="1"/>
  <c r="F974" i="1"/>
  <c r="J973" i="1"/>
  <c r="H973" i="1"/>
  <c r="I973" i="1" s="1"/>
  <c r="H1092" i="1"/>
  <c r="I1092" i="1" s="1"/>
  <c r="I1091" i="1"/>
  <c r="I1090" i="1"/>
  <c r="M1094" i="1"/>
  <c r="J1094" i="1"/>
  <c r="H1094" i="1"/>
  <c r="I1094" i="1" s="1"/>
  <c r="H1093" i="1"/>
  <c r="I1093" i="1" s="1"/>
  <c r="J972" i="1"/>
  <c r="H972" i="1"/>
  <c r="I972" i="1" s="1"/>
  <c r="H971" i="1"/>
  <c r="I971" i="1" s="1"/>
  <c r="J977" i="1"/>
  <c r="H977" i="1"/>
  <c r="I977" i="1" s="1"/>
  <c r="F1097" i="1"/>
  <c r="F1096" i="1"/>
  <c r="I1098" i="1"/>
  <c r="I1101" i="1"/>
  <c r="I1100" i="1"/>
  <c r="I1099" i="1"/>
  <c r="M1104" i="1"/>
  <c r="J1104" i="1"/>
  <c r="H1104" i="1"/>
  <c r="I1104" i="1" s="1"/>
  <c r="I1102" i="1"/>
  <c r="I1103" i="1"/>
  <c r="M1107" i="1"/>
  <c r="J1107" i="1"/>
  <c r="H1107" i="1"/>
  <c r="I1107" i="1" s="1"/>
  <c r="M1106" i="1"/>
  <c r="J1106" i="1"/>
  <c r="H1106" i="1"/>
  <c r="I1106" i="1" s="1"/>
  <c r="M1105" i="1"/>
  <c r="J1105" i="1"/>
  <c r="H1105" i="1"/>
  <c r="I1105" i="1" s="1"/>
  <c r="M1110" i="1"/>
  <c r="J1110" i="1"/>
  <c r="H1110" i="1"/>
  <c r="I1110" i="1" s="1"/>
  <c r="H1109" i="1"/>
  <c r="I1109" i="1" s="1"/>
  <c r="M1108" i="1"/>
  <c r="J1108" i="1"/>
  <c r="H1108" i="1"/>
  <c r="I1108" i="1" s="1"/>
  <c r="H1112" i="1"/>
  <c r="I1112" i="1" s="1"/>
  <c r="H1111" i="1"/>
  <c r="I1111" i="1" s="1"/>
  <c r="F1011" i="1"/>
  <c r="F1010" i="1"/>
  <c r="I1013" i="1"/>
  <c r="I1014" i="1"/>
  <c r="F1004" i="1"/>
  <c r="F998" i="1"/>
  <c r="F997" i="1"/>
  <c r="M1005" i="1"/>
  <c r="J1005" i="1"/>
  <c r="H1005" i="1"/>
  <c r="I1005" i="1" s="1"/>
  <c r="I1003" i="1"/>
  <c r="H1015" i="1"/>
  <c r="F1012" i="1"/>
  <c r="I1012" i="1" s="1"/>
  <c r="F1009" i="1"/>
  <c r="F1068" i="1"/>
  <c r="M1021" i="1"/>
  <c r="J1021" i="1"/>
  <c r="H1021" i="1"/>
  <c r="I1021" i="1" s="1"/>
  <c r="H1020" i="1"/>
  <c r="I1020" i="1" s="1"/>
  <c r="H1019" i="1"/>
  <c r="I1019" i="1" s="1"/>
  <c r="F1001" i="1"/>
  <c r="F1069" i="1"/>
  <c r="I985" i="1"/>
  <c r="I984" i="1"/>
  <c r="I983" i="1"/>
  <c r="J19" i="1"/>
  <c r="H19" i="1"/>
  <c r="I19" i="1" s="1"/>
  <c r="J18" i="1"/>
  <c r="H18" i="1"/>
  <c r="I18" i="1" s="1"/>
  <c r="J17" i="1"/>
  <c r="H17" i="1"/>
  <c r="I17" i="1" s="1"/>
  <c r="A17" i="1"/>
  <c r="J22" i="1"/>
  <c r="H22" i="1"/>
  <c r="I22" i="1" s="1"/>
  <c r="J21" i="1"/>
  <c r="H21" i="1"/>
  <c r="I21" i="1" s="1"/>
  <c r="J20" i="1"/>
  <c r="H20" i="1"/>
  <c r="I20" i="1" s="1"/>
  <c r="J25" i="1"/>
  <c r="H25" i="1"/>
  <c r="I25" i="1" s="1"/>
  <c r="J24" i="1"/>
  <c r="H24" i="1"/>
  <c r="I24" i="1" s="1"/>
  <c r="J23" i="1"/>
  <c r="H23" i="1"/>
  <c r="I23" i="1" s="1"/>
  <c r="J27" i="1"/>
  <c r="H27" i="1"/>
  <c r="I27" i="1" s="1"/>
  <c r="J26" i="1"/>
  <c r="H26" i="1"/>
  <c r="I26" i="1" s="1"/>
  <c r="J980" i="1"/>
  <c r="H980" i="1"/>
  <c r="I980" i="1" s="1"/>
  <c r="J981" i="1"/>
  <c r="H981" i="1"/>
  <c r="I981" i="1" s="1"/>
  <c r="K51" i="1" l="1"/>
  <c r="I117" i="1"/>
  <c r="K117" i="1" s="1"/>
  <c r="I152" i="1"/>
  <c r="K149" i="1"/>
  <c r="K144" i="1"/>
  <c r="N139" i="1"/>
  <c r="I74" i="1"/>
  <c r="N149" i="1"/>
  <c r="N148" i="1"/>
  <c r="K147" i="1"/>
  <c r="N142" i="1"/>
  <c r="N144" i="1"/>
  <c r="K140" i="1"/>
  <c r="K136" i="1"/>
  <c r="K139" i="1"/>
  <c r="K146" i="1"/>
  <c r="N146" i="1"/>
  <c r="N147" i="1"/>
  <c r="K148" i="1"/>
  <c r="K145" i="1"/>
  <c r="N145" i="1"/>
  <c r="K142" i="1"/>
  <c r="K143" i="1"/>
  <c r="N143" i="1"/>
  <c r="K134" i="1"/>
  <c r="K131" i="1"/>
  <c r="K132" i="1"/>
  <c r="K129" i="1"/>
  <c r="N123" i="1"/>
  <c r="K137" i="1"/>
  <c r="N138" i="1"/>
  <c r="K135" i="1"/>
  <c r="K138" i="1"/>
  <c r="I116" i="1"/>
  <c r="N116" i="1" s="1"/>
  <c r="K105" i="1"/>
  <c r="N140" i="1"/>
  <c r="K133" i="1"/>
  <c r="N136" i="1"/>
  <c r="N133" i="1"/>
  <c r="N137" i="1"/>
  <c r="N132" i="1"/>
  <c r="N129" i="1"/>
  <c r="K130" i="1"/>
  <c r="N135" i="1"/>
  <c r="N128" i="1"/>
  <c r="N134" i="1"/>
  <c r="N131" i="1"/>
  <c r="K128" i="1"/>
  <c r="N130" i="1"/>
  <c r="N115" i="1"/>
  <c r="K113" i="1"/>
  <c r="K153" i="1"/>
  <c r="N153" i="1"/>
  <c r="K119" i="1"/>
  <c r="K102" i="1"/>
  <c r="K104" i="1"/>
  <c r="K99" i="1"/>
  <c r="K101" i="1"/>
  <c r="K126" i="1"/>
  <c r="N126" i="1"/>
  <c r="K125" i="1"/>
  <c r="N125" i="1"/>
  <c r="K100" i="1"/>
  <c r="N119" i="1"/>
  <c r="K114" i="1"/>
  <c r="K106" i="1"/>
  <c r="K103" i="1"/>
  <c r="K96" i="1"/>
  <c r="K123" i="1"/>
  <c r="K122" i="1"/>
  <c r="N122" i="1"/>
  <c r="K121" i="1"/>
  <c r="N121" i="1"/>
  <c r="N118" i="1"/>
  <c r="K120" i="1"/>
  <c r="K118" i="1"/>
  <c r="N120" i="1"/>
  <c r="N111" i="1"/>
  <c r="N112" i="1"/>
  <c r="K110" i="1"/>
  <c r="K115" i="1"/>
  <c r="K112" i="1"/>
  <c r="N113" i="1"/>
  <c r="N110" i="1"/>
  <c r="N114" i="1"/>
  <c r="K111" i="1"/>
  <c r="K108" i="1"/>
  <c r="K98" i="1"/>
  <c r="N106" i="1"/>
  <c r="N99" i="1"/>
  <c r="N105" i="1"/>
  <c r="N102" i="1"/>
  <c r="N101" i="1"/>
  <c r="N98" i="1"/>
  <c r="N96" i="1"/>
  <c r="N107" i="1"/>
  <c r="N104" i="1"/>
  <c r="N97" i="1"/>
  <c r="N108" i="1"/>
  <c r="K107" i="1"/>
  <c r="N103" i="1"/>
  <c r="N100" i="1"/>
  <c r="K97" i="1"/>
  <c r="N151" i="1"/>
  <c r="K151" i="1"/>
  <c r="K93" i="1"/>
  <c r="K90" i="1"/>
  <c r="K88" i="1"/>
  <c r="N93" i="1"/>
  <c r="N92" i="1"/>
  <c r="N88" i="1"/>
  <c r="K94" i="1"/>
  <c r="N94" i="1"/>
  <c r="N91" i="1"/>
  <c r="K89" i="1"/>
  <c r="K91" i="1"/>
  <c r="K92" i="1"/>
  <c r="N89" i="1"/>
  <c r="N90" i="1"/>
  <c r="K52" i="1"/>
  <c r="N62" i="1"/>
  <c r="K55" i="1"/>
  <c r="I56" i="1"/>
  <c r="N56" i="1" s="1"/>
  <c r="I58" i="1"/>
  <c r="N58" i="1" s="1"/>
  <c r="I54" i="1"/>
  <c r="N54" i="1" s="1"/>
  <c r="I50" i="1"/>
  <c r="N50" i="1" s="1"/>
  <c r="N52" i="1"/>
  <c r="I48" i="1"/>
  <c r="K48" i="1" s="1"/>
  <c r="K63" i="1"/>
  <c r="N63" i="1"/>
  <c r="N51" i="1"/>
  <c r="N55" i="1"/>
  <c r="K62" i="1"/>
  <c r="I61" i="1"/>
  <c r="N61" i="1" s="1"/>
  <c r="K64" i="1"/>
  <c r="N64" i="1"/>
  <c r="I49" i="1"/>
  <c r="I53" i="1"/>
  <c r="F968" i="1"/>
  <c r="K972" i="1"/>
  <c r="N972" i="1"/>
  <c r="N971" i="1"/>
  <c r="K971" i="1"/>
  <c r="K60" i="1"/>
  <c r="N60" i="1"/>
  <c r="I59" i="1"/>
  <c r="I57" i="1"/>
  <c r="I47" i="1"/>
  <c r="I44" i="1"/>
  <c r="I39" i="1"/>
  <c r="I35" i="1"/>
  <c r="K35" i="1" s="1"/>
  <c r="K71" i="1"/>
  <c r="N69" i="1"/>
  <c r="I32" i="1"/>
  <c r="N32" i="1" s="1"/>
  <c r="N67" i="1"/>
  <c r="K33" i="1"/>
  <c r="I43" i="1"/>
  <c r="N43" i="1" s="1"/>
  <c r="K69" i="1"/>
  <c r="I36" i="1"/>
  <c r="K36" i="1" s="1"/>
  <c r="N68" i="1"/>
  <c r="I45" i="1"/>
  <c r="K45" i="1" s="1"/>
  <c r="I41" i="1"/>
  <c r="I40" i="1"/>
  <c r="I37" i="1"/>
  <c r="N37" i="1" s="1"/>
  <c r="I34" i="1"/>
  <c r="K34" i="1" s="1"/>
  <c r="N33" i="1"/>
  <c r="N71" i="1"/>
  <c r="K68" i="1"/>
  <c r="K67" i="1"/>
  <c r="K73" i="1"/>
  <c r="N73" i="1"/>
  <c r="I1034" i="1"/>
  <c r="K1034" i="1" s="1"/>
  <c r="N66" i="1"/>
  <c r="N38" i="1"/>
  <c r="N70" i="1"/>
  <c r="I1033" i="1"/>
  <c r="K1033" i="1" s="1"/>
  <c r="K72" i="1"/>
  <c r="K70" i="1"/>
  <c r="K42" i="1"/>
  <c r="K66" i="1"/>
  <c r="K38" i="1"/>
  <c r="N72" i="1"/>
  <c r="N42" i="1"/>
  <c r="N1039" i="1"/>
  <c r="I1029" i="1"/>
  <c r="N1029" i="1" s="1"/>
  <c r="I1027" i="1"/>
  <c r="K1027" i="1" s="1"/>
  <c r="N1030" i="1"/>
  <c r="I1025" i="1"/>
  <c r="N1025" i="1" s="1"/>
  <c r="K1039" i="1"/>
  <c r="N1038" i="1"/>
  <c r="K1038" i="1"/>
  <c r="N1036" i="1"/>
  <c r="K1036" i="1"/>
  <c r="N1035" i="1"/>
  <c r="K1035" i="1"/>
  <c r="K1030" i="1"/>
  <c r="K1079" i="1"/>
  <c r="K1054" i="1"/>
  <c r="I1024" i="1"/>
  <c r="N1024" i="1" s="1"/>
  <c r="N1032" i="1"/>
  <c r="K1032" i="1"/>
  <c r="K1059" i="1"/>
  <c r="K1061" i="1"/>
  <c r="K1053" i="1"/>
  <c r="K1051" i="1"/>
  <c r="N1056" i="1"/>
  <c r="N1059" i="1"/>
  <c r="K1056" i="1"/>
  <c r="N1055" i="1"/>
  <c r="K1057" i="1"/>
  <c r="N1063" i="1"/>
  <c r="N1054" i="1"/>
  <c r="K1055" i="1"/>
  <c r="N1061" i="1"/>
  <c r="N1049" i="1"/>
  <c r="N1057" i="1"/>
  <c r="N1050" i="1"/>
  <c r="N1062" i="1"/>
  <c r="K1060" i="1"/>
  <c r="N1058" i="1"/>
  <c r="N1051" i="1"/>
  <c r="N1064" i="1"/>
  <c r="K1052" i="1"/>
  <c r="K1064" i="1"/>
  <c r="N1052" i="1"/>
  <c r="K1050" i="1"/>
  <c r="K1062" i="1"/>
  <c r="K1063" i="1"/>
  <c r="N1060" i="1"/>
  <c r="K1058" i="1"/>
  <c r="K1049" i="1"/>
  <c r="N1053" i="1"/>
  <c r="N975" i="1"/>
  <c r="K975" i="1"/>
  <c r="J976" i="1"/>
  <c r="K1081" i="1"/>
  <c r="K1083" i="1"/>
  <c r="H976" i="1"/>
  <c r="I976" i="1" s="1"/>
  <c r="N976" i="1" s="1"/>
  <c r="K1076" i="1"/>
  <c r="H978" i="1"/>
  <c r="I978" i="1" s="1"/>
  <c r="N978" i="1" s="1"/>
  <c r="K1082" i="1"/>
  <c r="K1075" i="1"/>
  <c r="K1091" i="1"/>
  <c r="K973" i="1"/>
  <c r="H974" i="1"/>
  <c r="K1077" i="1"/>
  <c r="K1084" i="1"/>
  <c r="K1085" i="1"/>
  <c r="K1080" i="1"/>
  <c r="K1078" i="1"/>
  <c r="K1086" i="1"/>
  <c r="N1084" i="1"/>
  <c r="N1077" i="1"/>
  <c r="N1083" i="1"/>
  <c r="N1086" i="1"/>
  <c r="N1079" i="1"/>
  <c r="N1085" i="1"/>
  <c r="N1076" i="1"/>
  <c r="N1081" i="1"/>
  <c r="N1082" i="1"/>
  <c r="N1075" i="1"/>
  <c r="N1078" i="1"/>
  <c r="N1080" i="1"/>
  <c r="J978" i="1"/>
  <c r="I974" i="1"/>
  <c r="N974" i="1" s="1"/>
  <c r="J974" i="1"/>
  <c r="N973" i="1"/>
  <c r="N1091" i="1"/>
  <c r="K1092" i="1"/>
  <c r="N1090" i="1"/>
  <c r="N1093" i="1"/>
  <c r="K1094" i="1"/>
  <c r="K1090" i="1"/>
  <c r="N1094" i="1"/>
  <c r="K1093" i="1"/>
  <c r="N1092" i="1"/>
  <c r="N977" i="1"/>
  <c r="K1105" i="1"/>
  <c r="K1102" i="1"/>
  <c r="K1099" i="1"/>
  <c r="K977" i="1"/>
  <c r="K1104" i="1"/>
  <c r="K1111" i="1"/>
  <c r="K1112" i="1"/>
  <c r="K1109" i="1"/>
  <c r="K1107" i="1"/>
  <c r="K1110" i="1"/>
  <c r="K1100" i="1"/>
  <c r="N1101" i="1"/>
  <c r="I1097" i="1"/>
  <c r="K1097" i="1" s="1"/>
  <c r="I1096" i="1"/>
  <c r="K1096" i="1" s="1"/>
  <c r="K1103" i="1"/>
  <c r="K1101" i="1"/>
  <c r="K1106" i="1"/>
  <c r="N1109" i="1"/>
  <c r="N1105" i="1"/>
  <c r="N1107" i="1"/>
  <c r="K1098" i="1"/>
  <c r="N1112" i="1"/>
  <c r="N1108" i="1"/>
  <c r="N1110" i="1"/>
  <c r="N1102" i="1"/>
  <c r="N1103" i="1"/>
  <c r="N1104" i="1"/>
  <c r="N1100" i="1"/>
  <c r="N1111" i="1"/>
  <c r="K1108" i="1"/>
  <c r="N1106" i="1"/>
  <c r="N1099" i="1"/>
  <c r="N1098" i="1"/>
  <c r="I1011" i="1"/>
  <c r="N1011" i="1" s="1"/>
  <c r="K1014" i="1"/>
  <c r="N1014" i="1"/>
  <c r="I1004" i="1"/>
  <c r="N1004" i="1" s="1"/>
  <c r="K1013" i="1"/>
  <c r="I1010" i="1"/>
  <c r="N1010" i="1" s="1"/>
  <c r="N1013" i="1"/>
  <c r="K1021" i="1"/>
  <c r="I1009" i="1"/>
  <c r="K1009" i="1" s="1"/>
  <c r="K1005" i="1"/>
  <c r="N1005" i="1"/>
  <c r="K1003" i="1"/>
  <c r="N1003" i="1"/>
  <c r="N1021" i="1"/>
  <c r="K1012" i="1"/>
  <c r="N1012" i="1"/>
  <c r="K24" i="1"/>
  <c r="K20" i="1"/>
  <c r="K21" i="1"/>
  <c r="K19" i="1"/>
  <c r="I1068" i="1"/>
  <c r="N1068" i="1" s="1"/>
  <c r="K1020" i="1"/>
  <c r="N1020" i="1"/>
  <c r="K1019" i="1"/>
  <c r="N1019" i="1"/>
  <c r="N985" i="1"/>
  <c r="N983" i="1"/>
  <c r="K984" i="1"/>
  <c r="K983" i="1"/>
  <c r="K985" i="1"/>
  <c r="N984" i="1"/>
  <c r="N981" i="1"/>
  <c r="K27" i="1"/>
  <c r="K23" i="1"/>
  <c r="K22" i="1"/>
  <c r="K26" i="1"/>
  <c r="K18" i="1"/>
  <c r="K17" i="1"/>
  <c r="K25" i="1"/>
  <c r="N27" i="1"/>
  <c r="N23" i="1"/>
  <c r="N22" i="1"/>
  <c r="N26" i="1"/>
  <c r="N25" i="1"/>
  <c r="N18" i="1"/>
  <c r="N24" i="1"/>
  <c r="N21" i="1"/>
  <c r="N20" i="1"/>
  <c r="N17" i="1"/>
  <c r="N19" i="1"/>
  <c r="K981" i="1"/>
  <c r="K980" i="1"/>
  <c r="N980" i="1"/>
  <c r="L35" i="2"/>
  <c r="L1113" i="1"/>
  <c r="L1095" i="1"/>
  <c r="L1089" i="1"/>
  <c r="L1087" i="1"/>
  <c r="L1074" i="1"/>
  <c r="L1071" i="1"/>
  <c r="L1067" i="1"/>
  <c r="L1048" i="1"/>
  <c r="L1045" i="1"/>
  <c r="L1042" i="1"/>
  <c r="L1040" i="1"/>
  <c r="L1022" i="1"/>
  <c r="L1015" i="1"/>
  <c r="L1008" i="1"/>
  <c r="L1006" i="1"/>
  <c r="L999" i="1"/>
  <c r="L996" i="1"/>
  <c r="L994" i="1"/>
  <c r="L992" i="1"/>
  <c r="L967" i="1"/>
  <c r="L970" i="1"/>
  <c r="L982" i="1"/>
  <c r="L987" i="1"/>
  <c r="L989" i="1"/>
  <c r="L965" i="1"/>
  <c r="L961" i="1"/>
  <c r="L960" i="1"/>
  <c r="L959" i="1"/>
  <c r="L958" i="1"/>
  <c r="L957" i="1"/>
  <c r="L956" i="1"/>
  <c r="L849" i="1"/>
  <c r="L846" i="1"/>
  <c r="L637" i="1"/>
  <c r="L585" i="1"/>
  <c r="L581" i="1"/>
  <c r="L579" i="1"/>
  <c r="L576" i="1"/>
  <c r="L570" i="1"/>
  <c r="L537" i="1"/>
  <c r="L534" i="1"/>
  <c r="L531" i="1"/>
  <c r="L528" i="1"/>
  <c r="L524" i="1"/>
  <c r="L510" i="1"/>
  <c r="L507" i="1"/>
  <c r="L490" i="1"/>
  <c r="L259" i="1"/>
  <c r="L256" i="1"/>
  <c r="L209" i="1"/>
  <c r="L196" i="1"/>
  <c r="L191" i="1"/>
  <c r="L185" i="1"/>
  <c r="L183" i="1"/>
  <c r="L180" i="1"/>
  <c r="L177" i="1"/>
  <c r="L174" i="1"/>
  <c r="L171" i="1"/>
  <c r="L168" i="1"/>
  <c r="L160" i="1"/>
  <c r="L158" i="1"/>
  <c r="L154" i="1"/>
  <c r="L86" i="1"/>
  <c r="L83" i="1"/>
  <c r="L80" i="1"/>
  <c r="L78" i="1"/>
  <c r="L75" i="1"/>
  <c r="L31" i="1"/>
  <c r="L16" i="1"/>
  <c r="L28" i="1"/>
  <c r="L10" i="1"/>
  <c r="L11" i="1"/>
  <c r="L12" i="1"/>
  <c r="L9" i="1"/>
  <c r="C24" i="2"/>
  <c r="C19" i="2"/>
  <c r="C7" i="2"/>
  <c r="C5" i="2"/>
  <c r="N117" i="1" l="1"/>
  <c r="N35" i="1"/>
  <c r="K152" i="1"/>
  <c r="N152" i="1"/>
  <c r="K56" i="1"/>
  <c r="N49" i="1"/>
  <c r="K116" i="1"/>
  <c r="K74" i="1"/>
  <c r="N74" i="1"/>
  <c r="K54" i="1"/>
  <c r="K39" i="1"/>
  <c r="N48" i="1"/>
  <c r="K58" i="1"/>
  <c r="K50" i="1"/>
  <c r="N53" i="1"/>
  <c r="N39" i="1"/>
  <c r="K61" i="1"/>
  <c r="N47" i="1"/>
  <c r="N44" i="1"/>
  <c r="K53" i="1"/>
  <c r="J968" i="1"/>
  <c r="H968" i="1"/>
  <c r="I968" i="1" s="1"/>
  <c r="K49" i="1"/>
  <c r="K44" i="1"/>
  <c r="K37" i="1"/>
  <c r="K43" i="1"/>
  <c r="N57" i="1"/>
  <c r="K32" i="1"/>
  <c r="N59" i="1"/>
  <c r="K59" i="1"/>
  <c r="K57" i="1"/>
  <c r="K47" i="1"/>
  <c r="K40" i="1"/>
  <c r="N40" i="1"/>
  <c r="N1034" i="1"/>
  <c r="N36" i="1"/>
  <c r="N45" i="1"/>
  <c r="N41" i="1"/>
  <c r="N34" i="1"/>
  <c r="K41" i="1"/>
  <c r="N1027" i="1"/>
  <c r="N1033" i="1"/>
  <c r="K1025" i="1"/>
  <c r="K1029" i="1"/>
  <c r="K1024" i="1"/>
  <c r="K976" i="1"/>
  <c r="K978" i="1"/>
  <c r="K1010" i="1"/>
  <c r="N1097" i="1"/>
  <c r="K974" i="1"/>
  <c r="N1096" i="1"/>
  <c r="K1011" i="1"/>
  <c r="N1009" i="1"/>
  <c r="K1004" i="1"/>
  <c r="K1068" i="1"/>
  <c r="C10" i="2"/>
  <c r="C11" i="2"/>
  <c r="C12" i="2"/>
  <c r="C13" i="2"/>
  <c r="C14" i="2"/>
  <c r="C15" i="2"/>
  <c r="C16" i="2"/>
  <c r="C17" i="2"/>
  <c r="C18" i="2"/>
  <c r="C20" i="2"/>
  <c r="C21" i="2"/>
  <c r="C22" i="2"/>
  <c r="C23" i="2"/>
  <c r="C25" i="2"/>
  <c r="C26" i="2"/>
  <c r="C27" i="2"/>
  <c r="B27" i="2"/>
  <c r="B26" i="2"/>
  <c r="B25" i="2"/>
  <c r="B23" i="2"/>
  <c r="B22" i="2"/>
  <c r="B21" i="2"/>
  <c r="B20" i="2"/>
  <c r="B18" i="2"/>
  <c r="B17" i="2"/>
  <c r="B16" i="2"/>
  <c r="B15" i="2"/>
  <c r="B14" i="2"/>
  <c r="B13" i="2"/>
  <c r="B12" i="2"/>
  <c r="B11" i="2"/>
  <c r="B10" i="2"/>
  <c r="C9" i="2"/>
  <c r="B9" i="2"/>
  <c r="C8" i="2"/>
  <c r="B8" i="2"/>
  <c r="C6" i="2"/>
  <c r="B6" i="2"/>
  <c r="N968" i="1" l="1"/>
  <c r="K968" i="1"/>
  <c r="A16" i="1" l="1"/>
  <c r="A1113" i="1"/>
  <c r="A1114" i="1"/>
  <c r="A1115" i="1"/>
  <c r="A1116" i="1"/>
  <c r="A1117" i="1"/>
  <c r="A13" i="1"/>
  <c r="A15" i="1"/>
  <c r="A12" i="1"/>
  <c r="A11" i="1"/>
  <c r="A10" i="1"/>
  <c r="A9" i="1"/>
  <c r="F5" i="1" l="1"/>
  <c r="P637" i="1" l="1"/>
  <c r="O637" i="1"/>
  <c r="N637" i="1"/>
  <c r="M637" i="1"/>
  <c r="K637" i="1"/>
  <c r="J637" i="1"/>
  <c r="I637" i="1"/>
  <c r="H637" i="1"/>
  <c r="P959" i="1" l="1"/>
  <c r="O959" i="1"/>
  <c r="N959" i="1"/>
  <c r="M959" i="1"/>
  <c r="K959" i="1"/>
  <c r="J959" i="1"/>
  <c r="I959" i="1"/>
  <c r="H959" i="1"/>
  <c r="P958" i="1"/>
  <c r="O958" i="1"/>
  <c r="N958" i="1"/>
  <c r="M958" i="1"/>
  <c r="K958" i="1"/>
  <c r="J958" i="1"/>
  <c r="I958" i="1"/>
  <c r="H958" i="1"/>
  <c r="P957" i="1"/>
  <c r="O957" i="1"/>
  <c r="N957" i="1"/>
  <c r="M957" i="1"/>
  <c r="K957" i="1"/>
  <c r="J957" i="1"/>
  <c r="I957" i="1"/>
  <c r="H957" i="1"/>
  <c r="P956" i="1"/>
  <c r="O956" i="1"/>
  <c r="N956" i="1"/>
  <c r="M956" i="1"/>
  <c r="K956" i="1"/>
  <c r="J956" i="1"/>
  <c r="I956" i="1"/>
  <c r="H956" i="1"/>
  <c r="A1" i="2" l="1"/>
  <c r="P961" i="1" l="1"/>
  <c r="O961" i="1"/>
  <c r="N961" i="1"/>
  <c r="M961" i="1"/>
  <c r="K961" i="1"/>
  <c r="J961" i="1"/>
  <c r="I961" i="1"/>
  <c r="H961" i="1"/>
  <c r="P960" i="1"/>
  <c r="O960" i="1"/>
  <c r="N960" i="1"/>
  <c r="M960" i="1"/>
  <c r="K960" i="1"/>
  <c r="J960" i="1"/>
  <c r="I960" i="1"/>
  <c r="H960" i="1"/>
  <c r="P953" i="1"/>
  <c r="O953" i="1"/>
  <c r="N953" i="1"/>
  <c r="M953" i="1"/>
  <c r="K953" i="1"/>
  <c r="J953" i="1"/>
  <c r="I953" i="1"/>
  <c r="H953" i="1"/>
  <c r="P849" i="1"/>
  <c r="O849" i="1"/>
  <c r="N849" i="1"/>
  <c r="M849" i="1"/>
  <c r="K849" i="1"/>
  <c r="J849" i="1"/>
  <c r="I849" i="1"/>
  <c r="H849" i="1"/>
  <c r="P846" i="1"/>
  <c r="O846" i="1"/>
  <c r="N846" i="1"/>
  <c r="M846" i="1"/>
  <c r="K846" i="1"/>
  <c r="J846" i="1"/>
  <c r="I846" i="1"/>
  <c r="H846" i="1"/>
  <c r="P634" i="1"/>
  <c r="O634" i="1"/>
  <c r="N634" i="1"/>
  <c r="M634" i="1"/>
  <c r="K634" i="1"/>
  <c r="J634" i="1"/>
  <c r="I634" i="1"/>
  <c r="H634" i="1"/>
  <c r="P633" i="1"/>
  <c r="O633" i="1"/>
  <c r="N633" i="1"/>
  <c r="M633" i="1"/>
  <c r="K633" i="1"/>
  <c r="J633" i="1"/>
  <c r="I633" i="1"/>
  <c r="H633" i="1"/>
  <c r="P585" i="1"/>
  <c r="O585" i="1"/>
  <c r="N585" i="1"/>
  <c r="M585" i="1"/>
  <c r="K585" i="1"/>
  <c r="J585" i="1"/>
  <c r="I585" i="1"/>
  <c r="H585" i="1"/>
  <c r="P12" i="1"/>
  <c r="O12" i="1"/>
  <c r="N12" i="1"/>
  <c r="M12" i="1"/>
  <c r="K12" i="1"/>
  <c r="J12" i="1"/>
  <c r="I12" i="1"/>
  <c r="H12" i="1"/>
  <c r="P11" i="1"/>
  <c r="O11" i="1"/>
  <c r="N11" i="1"/>
  <c r="M11" i="1"/>
  <c r="K11" i="1"/>
  <c r="J11" i="1"/>
  <c r="I11" i="1"/>
  <c r="H11" i="1"/>
  <c r="M10" i="1"/>
  <c r="N10" i="1" s="1"/>
  <c r="O10" i="1" s="1"/>
  <c r="J10" i="1"/>
  <c r="H10" i="1"/>
  <c r="I10" i="1" s="1"/>
  <c r="M9" i="1"/>
  <c r="N9" i="1" s="1"/>
  <c r="O9" i="1" s="1"/>
  <c r="J9" i="1"/>
  <c r="H9" i="1"/>
  <c r="I9" i="1" s="1"/>
  <c r="K10" i="1" l="1"/>
  <c r="P10" i="1" s="1"/>
  <c r="K9" i="1"/>
  <c r="P9" i="1" s="1"/>
  <c r="J954" i="1"/>
  <c r="D22" i="2" s="1"/>
  <c r="F22" i="2" s="1"/>
  <c r="P954" i="1"/>
  <c r="M962" i="1"/>
  <c r="G23" i="2" s="1"/>
  <c r="P847" i="1"/>
  <c r="Q962" i="1"/>
  <c r="P635" i="1"/>
  <c r="J847" i="1"/>
  <c r="D21" i="2" s="1"/>
  <c r="F21" i="2" s="1"/>
  <c r="J962" i="1"/>
  <c r="F23" i="2" s="1"/>
  <c r="J635" i="1"/>
  <c r="D20" i="2" s="1"/>
  <c r="F20" i="2" s="1"/>
  <c r="P962" i="1"/>
  <c r="P507" i="1"/>
  <c r="O507" i="1"/>
  <c r="N507" i="1"/>
  <c r="K507" i="1"/>
  <c r="I507" i="1"/>
  <c r="H507" i="1"/>
  <c r="H1087" i="1"/>
  <c r="I1087" i="1"/>
  <c r="J1087" i="1"/>
  <c r="K1087" i="1"/>
  <c r="M1087" i="1"/>
  <c r="N1087" i="1"/>
  <c r="O1087" i="1"/>
  <c r="P1087" i="1"/>
  <c r="H1088" i="1"/>
  <c r="I1088" i="1" s="1"/>
  <c r="H1089" i="1"/>
  <c r="I1089" i="1"/>
  <c r="J1089" i="1"/>
  <c r="K1089" i="1"/>
  <c r="M1089" i="1"/>
  <c r="N1089" i="1"/>
  <c r="O1089" i="1"/>
  <c r="P1089" i="1"/>
  <c r="H1095" i="1"/>
  <c r="I1095" i="1"/>
  <c r="J1095" i="1"/>
  <c r="K1095" i="1"/>
  <c r="M1095" i="1"/>
  <c r="N1095" i="1"/>
  <c r="O1095" i="1"/>
  <c r="P1095" i="1"/>
  <c r="H1113" i="1"/>
  <c r="I1113" i="1"/>
  <c r="J1113" i="1"/>
  <c r="K1113" i="1"/>
  <c r="M1113" i="1"/>
  <c r="N1113" i="1"/>
  <c r="O1113" i="1"/>
  <c r="P1113" i="1"/>
  <c r="I993" i="1"/>
  <c r="H994" i="1"/>
  <c r="I994" i="1"/>
  <c r="J994" i="1"/>
  <c r="K994" i="1"/>
  <c r="M994" i="1"/>
  <c r="N994" i="1"/>
  <c r="O994" i="1"/>
  <c r="P994" i="1"/>
  <c r="I995" i="1"/>
  <c r="H996" i="1"/>
  <c r="I996" i="1"/>
  <c r="J996" i="1"/>
  <c r="K996" i="1"/>
  <c r="M996" i="1"/>
  <c r="N996" i="1"/>
  <c r="O996" i="1"/>
  <c r="P996" i="1"/>
  <c r="I997" i="1"/>
  <c r="I998" i="1"/>
  <c r="H999" i="1"/>
  <c r="I999" i="1"/>
  <c r="J999" i="1"/>
  <c r="K999" i="1"/>
  <c r="M999" i="1"/>
  <c r="N999" i="1"/>
  <c r="O999" i="1"/>
  <c r="P999" i="1"/>
  <c r="I1000" i="1"/>
  <c r="I1001" i="1"/>
  <c r="I1002" i="1"/>
  <c r="H1006" i="1"/>
  <c r="I1006" i="1"/>
  <c r="J1006" i="1"/>
  <c r="K1006" i="1"/>
  <c r="M1006" i="1"/>
  <c r="N1006" i="1"/>
  <c r="O1006" i="1"/>
  <c r="P1006" i="1"/>
  <c r="I1007" i="1"/>
  <c r="H1008" i="1"/>
  <c r="I1008" i="1"/>
  <c r="J1008" i="1"/>
  <c r="K1008" i="1"/>
  <c r="M1008" i="1"/>
  <c r="N1008" i="1"/>
  <c r="O1008" i="1"/>
  <c r="P1008" i="1"/>
  <c r="I1069" i="1"/>
  <c r="I1070" i="1"/>
  <c r="I1015" i="1"/>
  <c r="J1015" i="1"/>
  <c r="K1015" i="1"/>
  <c r="M1015" i="1"/>
  <c r="N1015" i="1"/>
  <c r="O1015" i="1"/>
  <c r="P1015" i="1"/>
  <c r="I1016" i="1"/>
  <c r="I1017" i="1"/>
  <c r="I1018" i="1"/>
  <c r="H1022" i="1"/>
  <c r="I1022" i="1"/>
  <c r="J1022" i="1"/>
  <c r="K1022" i="1"/>
  <c r="M1022" i="1"/>
  <c r="N1022" i="1"/>
  <c r="O1022" i="1"/>
  <c r="P1022" i="1"/>
  <c r="H1040" i="1"/>
  <c r="I1040" i="1"/>
  <c r="J1040" i="1"/>
  <c r="K1040" i="1"/>
  <c r="M1040" i="1"/>
  <c r="N1040" i="1"/>
  <c r="O1040" i="1"/>
  <c r="P1040" i="1"/>
  <c r="H1041" i="1"/>
  <c r="I1041" i="1" s="1"/>
  <c r="J1041" i="1"/>
  <c r="M1041" i="1"/>
  <c r="H1042" i="1"/>
  <c r="I1042" i="1"/>
  <c r="J1042" i="1"/>
  <c r="K1042" i="1"/>
  <c r="M1042" i="1"/>
  <c r="N1042" i="1"/>
  <c r="O1042" i="1"/>
  <c r="P1042" i="1"/>
  <c r="I1043" i="1"/>
  <c r="I1044" i="1"/>
  <c r="H1045" i="1"/>
  <c r="I1045" i="1"/>
  <c r="J1045" i="1"/>
  <c r="K1045" i="1"/>
  <c r="M1045" i="1"/>
  <c r="N1045" i="1"/>
  <c r="O1045" i="1"/>
  <c r="P1045" i="1"/>
  <c r="I1046" i="1"/>
  <c r="I1047" i="1"/>
  <c r="H1048" i="1"/>
  <c r="I1048" i="1"/>
  <c r="J1048" i="1"/>
  <c r="K1048" i="1"/>
  <c r="M1048" i="1"/>
  <c r="N1048" i="1"/>
  <c r="O1048" i="1"/>
  <c r="P1048" i="1"/>
  <c r="H1067" i="1"/>
  <c r="I1067" i="1"/>
  <c r="J1067" i="1"/>
  <c r="K1067" i="1" s="1"/>
  <c r="M1067" i="1"/>
  <c r="N1067" i="1"/>
  <c r="O1067" i="1" s="1"/>
  <c r="H1071" i="1"/>
  <c r="I1071" i="1"/>
  <c r="J1071" i="1"/>
  <c r="K1071" i="1"/>
  <c r="M1071" i="1"/>
  <c r="N1071" i="1"/>
  <c r="O1071" i="1"/>
  <c r="P1071" i="1"/>
  <c r="H966" i="1"/>
  <c r="I966" i="1" s="1"/>
  <c r="J966" i="1"/>
  <c r="H967" i="1"/>
  <c r="I967" i="1"/>
  <c r="J967" i="1"/>
  <c r="K967" i="1"/>
  <c r="M967" i="1"/>
  <c r="N967" i="1"/>
  <c r="O967" i="1"/>
  <c r="P967" i="1"/>
  <c r="H969" i="1"/>
  <c r="I969" i="1" s="1"/>
  <c r="H970" i="1"/>
  <c r="I970" i="1"/>
  <c r="J970" i="1"/>
  <c r="K970" i="1"/>
  <c r="M970" i="1"/>
  <c r="N970" i="1"/>
  <c r="O970" i="1"/>
  <c r="P970" i="1"/>
  <c r="H979" i="1"/>
  <c r="I979" i="1" s="1"/>
  <c r="J979" i="1"/>
  <c r="H982" i="1"/>
  <c r="I982" i="1"/>
  <c r="J982" i="1"/>
  <c r="K982" i="1"/>
  <c r="M982" i="1"/>
  <c r="N982" i="1"/>
  <c r="O982" i="1"/>
  <c r="P982" i="1"/>
  <c r="I986" i="1"/>
  <c r="J986" i="1"/>
  <c r="M986" i="1"/>
  <c r="H987" i="1"/>
  <c r="I987" i="1"/>
  <c r="J987" i="1"/>
  <c r="K987" i="1"/>
  <c r="M987" i="1"/>
  <c r="N987" i="1"/>
  <c r="O987" i="1"/>
  <c r="P987" i="1"/>
  <c r="H988" i="1"/>
  <c r="I988" i="1" s="1"/>
  <c r="H989" i="1"/>
  <c r="I989" i="1"/>
  <c r="J989" i="1"/>
  <c r="K989" i="1"/>
  <c r="M989" i="1"/>
  <c r="N989" i="1"/>
  <c r="O989" i="1"/>
  <c r="P989" i="1"/>
  <c r="H579" i="1"/>
  <c r="I579" i="1"/>
  <c r="J579" i="1"/>
  <c r="K579" i="1"/>
  <c r="M579" i="1"/>
  <c r="N579" i="1"/>
  <c r="O579" i="1"/>
  <c r="P579" i="1"/>
  <c r="H581" i="1"/>
  <c r="I581" i="1"/>
  <c r="J581" i="1"/>
  <c r="K581" i="1"/>
  <c r="M581" i="1"/>
  <c r="N581" i="1"/>
  <c r="O581" i="1"/>
  <c r="P581" i="1"/>
  <c r="P1117" i="1"/>
  <c r="O1117" i="1"/>
  <c r="N1117" i="1"/>
  <c r="M1117" i="1"/>
  <c r="L1117" i="1"/>
  <c r="K1117" i="1"/>
  <c r="J1117" i="1"/>
  <c r="I1117" i="1"/>
  <c r="H1117" i="1"/>
  <c r="P1115" i="1"/>
  <c r="O1115" i="1"/>
  <c r="N1115" i="1"/>
  <c r="M1115" i="1"/>
  <c r="L1115" i="1"/>
  <c r="K1115" i="1"/>
  <c r="J1115" i="1"/>
  <c r="I1115" i="1"/>
  <c r="H1115" i="1"/>
  <c r="P1074" i="1"/>
  <c r="O1074" i="1"/>
  <c r="N1074" i="1"/>
  <c r="M1074" i="1"/>
  <c r="K1074" i="1"/>
  <c r="J1074" i="1"/>
  <c r="I1074" i="1"/>
  <c r="H1074" i="1"/>
  <c r="P992" i="1"/>
  <c r="O992" i="1"/>
  <c r="N992" i="1"/>
  <c r="M992" i="1"/>
  <c r="K992" i="1"/>
  <c r="J992" i="1"/>
  <c r="I992" i="1"/>
  <c r="H992" i="1"/>
  <c r="P965" i="1"/>
  <c r="O965" i="1"/>
  <c r="N965" i="1"/>
  <c r="M965" i="1"/>
  <c r="K965" i="1"/>
  <c r="J965" i="1"/>
  <c r="I965" i="1"/>
  <c r="H965" i="1"/>
  <c r="P576" i="1"/>
  <c r="O576" i="1"/>
  <c r="N576" i="1"/>
  <c r="M576" i="1"/>
  <c r="K576" i="1"/>
  <c r="J576" i="1"/>
  <c r="I576" i="1"/>
  <c r="H576" i="1"/>
  <c r="P570" i="1"/>
  <c r="O570" i="1"/>
  <c r="N570" i="1"/>
  <c r="M570" i="1"/>
  <c r="K570" i="1"/>
  <c r="J570" i="1"/>
  <c r="I570" i="1"/>
  <c r="H570" i="1"/>
  <c r="P537" i="1"/>
  <c r="O537" i="1"/>
  <c r="N537" i="1"/>
  <c r="M537" i="1"/>
  <c r="K537" i="1"/>
  <c r="J537" i="1"/>
  <c r="I537" i="1"/>
  <c r="H537" i="1"/>
  <c r="P534" i="1"/>
  <c r="O534" i="1"/>
  <c r="N534" i="1"/>
  <c r="M534" i="1"/>
  <c r="K534" i="1"/>
  <c r="J534" i="1"/>
  <c r="I534" i="1"/>
  <c r="H534" i="1"/>
  <c r="P531" i="1"/>
  <c r="O531" i="1"/>
  <c r="N531" i="1"/>
  <c r="M531" i="1"/>
  <c r="K531" i="1"/>
  <c r="J531" i="1"/>
  <c r="I531" i="1"/>
  <c r="H531" i="1"/>
  <c r="P528" i="1"/>
  <c r="O528" i="1"/>
  <c r="N528" i="1"/>
  <c r="M528" i="1"/>
  <c r="K528" i="1"/>
  <c r="J528" i="1"/>
  <c r="I528" i="1"/>
  <c r="H528" i="1"/>
  <c r="P524" i="1"/>
  <c r="O524" i="1"/>
  <c r="N524" i="1"/>
  <c r="M524" i="1"/>
  <c r="K524" i="1"/>
  <c r="J524" i="1"/>
  <c r="I524" i="1"/>
  <c r="H524" i="1"/>
  <c r="P510" i="1"/>
  <c r="O510" i="1"/>
  <c r="N510" i="1"/>
  <c r="M510" i="1"/>
  <c r="K510" i="1"/>
  <c r="J510" i="1"/>
  <c r="I510" i="1"/>
  <c r="H510" i="1"/>
  <c r="M507" i="1"/>
  <c r="J507" i="1"/>
  <c r="P490" i="1"/>
  <c r="O490" i="1"/>
  <c r="N490" i="1"/>
  <c r="M490" i="1"/>
  <c r="K490" i="1"/>
  <c r="J490" i="1"/>
  <c r="I490" i="1"/>
  <c r="H490" i="1"/>
  <c r="P259" i="1"/>
  <c r="O259" i="1"/>
  <c r="N259" i="1"/>
  <c r="M259" i="1"/>
  <c r="K259" i="1"/>
  <c r="J259" i="1"/>
  <c r="I259" i="1"/>
  <c r="H259" i="1"/>
  <c r="P256" i="1"/>
  <c r="O256" i="1"/>
  <c r="N256" i="1"/>
  <c r="M256" i="1"/>
  <c r="K256" i="1"/>
  <c r="J256" i="1"/>
  <c r="I256" i="1"/>
  <c r="H256" i="1"/>
  <c r="I254" i="1"/>
  <c r="I251" i="1"/>
  <c r="P209" i="1"/>
  <c r="O209" i="1"/>
  <c r="N209" i="1"/>
  <c r="M209" i="1"/>
  <c r="K209" i="1"/>
  <c r="J209" i="1"/>
  <c r="I209" i="1"/>
  <c r="H209" i="1"/>
  <c r="P196" i="1"/>
  <c r="O196" i="1"/>
  <c r="N196" i="1"/>
  <c r="M196" i="1"/>
  <c r="K196" i="1"/>
  <c r="J196" i="1"/>
  <c r="I196" i="1"/>
  <c r="H196" i="1"/>
  <c r="P191" i="1"/>
  <c r="O191" i="1"/>
  <c r="N191" i="1"/>
  <c r="M191" i="1"/>
  <c r="K191" i="1"/>
  <c r="J191" i="1"/>
  <c r="I191" i="1"/>
  <c r="H191" i="1"/>
  <c r="P185" i="1"/>
  <c r="O185" i="1"/>
  <c r="N185" i="1"/>
  <c r="M185" i="1"/>
  <c r="K185" i="1"/>
  <c r="J185" i="1"/>
  <c r="I185" i="1"/>
  <c r="H185" i="1"/>
  <c r="P183" i="1"/>
  <c r="O183" i="1"/>
  <c r="N183" i="1"/>
  <c r="M183" i="1"/>
  <c r="K183" i="1"/>
  <c r="J183" i="1"/>
  <c r="I183" i="1"/>
  <c r="H183" i="1"/>
  <c r="P180" i="1"/>
  <c r="O180" i="1"/>
  <c r="N180" i="1"/>
  <c r="M180" i="1"/>
  <c r="K180" i="1"/>
  <c r="J180" i="1"/>
  <c r="I180" i="1"/>
  <c r="H180" i="1"/>
  <c r="P177" i="1"/>
  <c r="O177" i="1"/>
  <c r="N177" i="1"/>
  <c r="M177" i="1"/>
  <c r="K177" i="1"/>
  <c r="J177" i="1"/>
  <c r="I177" i="1"/>
  <c r="H177" i="1"/>
  <c r="P174" i="1"/>
  <c r="O174" i="1"/>
  <c r="N174" i="1"/>
  <c r="M174" i="1"/>
  <c r="K174" i="1"/>
  <c r="J174" i="1"/>
  <c r="I174" i="1"/>
  <c r="H174" i="1"/>
  <c r="I173" i="1"/>
  <c r="I172" i="1"/>
  <c r="P171" i="1"/>
  <c r="O171" i="1"/>
  <c r="N171" i="1"/>
  <c r="M171" i="1"/>
  <c r="K171" i="1"/>
  <c r="J171" i="1"/>
  <c r="I171" i="1"/>
  <c r="H171" i="1"/>
  <c r="P168" i="1"/>
  <c r="O168" i="1"/>
  <c r="N168" i="1"/>
  <c r="M168" i="1"/>
  <c r="K168" i="1"/>
  <c r="J168" i="1"/>
  <c r="I168" i="1"/>
  <c r="H168" i="1"/>
  <c r="P160" i="1"/>
  <c r="O160" i="1"/>
  <c r="N160" i="1"/>
  <c r="M160" i="1"/>
  <c r="K160" i="1"/>
  <c r="J160" i="1"/>
  <c r="I160" i="1"/>
  <c r="H160" i="1"/>
  <c r="P158" i="1"/>
  <c r="O158" i="1"/>
  <c r="N158" i="1"/>
  <c r="M158" i="1"/>
  <c r="K158" i="1"/>
  <c r="J158" i="1"/>
  <c r="I158" i="1"/>
  <c r="H158" i="1"/>
  <c r="I157" i="1"/>
  <c r="I156" i="1"/>
  <c r="I155" i="1"/>
  <c r="P154" i="1"/>
  <c r="O154" i="1"/>
  <c r="N154" i="1"/>
  <c r="M154" i="1"/>
  <c r="K154" i="1"/>
  <c r="J154" i="1"/>
  <c r="I154" i="1"/>
  <c r="H154" i="1"/>
  <c r="P86" i="1"/>
  <c r="O86" i="1"/>
  <c r="N86" i="1"/>
  <c r="M86" i="1"/>
  <c r="K86" i="1"/>
  <c r="J86" i="1"/>
  <c r="I86" i="1"/>
  <c r="H86" i="1"/>
  <c r="P83" i="1"/>
  <c r="O83" i="1"/>
  <c r="N83" i="1"/>
  <c r="M83" i="1"/>
  <c r="K83" i="1"/>
  <c r="J83" i="1"/>
  <c r="I83" i="1"/>
  <c r="H83" i="1"/>
  <c r="P80" i="1"/>
  <c r="O80" i="1"/>
  <c r="N80" i="1"/>
  <c r="M80" i="1"/>
  <c r="K80" i="1"/>
  <c r="J80" i="1"/>
  <c r="I80" i="1"/>
  <c r="H80" i="1"/>
  <c r="I79" i="1"/>
  <c r="P78" i="1"/>
  <c r="O78" i="1"/>
  <c r="N78" i="1"/>
  <c r="M78" i="1"/>
  <c r="K78" i="1"/>
  <c r="J78" i="1"/>
  <c r="I78" i="1"/>
  <c r="H78" i="1"/>
  <c r="P75" i="1"/>
  <c r="O75" i="1"/>
  <c r="N75" i="1"/>
  <c r="M75" i="1"/>
  <c r="K75" i="1"/>
  <c r="J75" i="1"/>
  <c r="I75" i="1"/>
  <c r="H75" i="1"/>
  <c r="M65" i="1"/>
  <c r="N65" i="1" s="1"/>
  <c r="J65" i="1"/>
  <c r="H65" i="1"/>
  <c r="I65" i="1" s="1"/>
  <c r="P31" i="1"/>
  <c r="O31" i="1"/>
  <c r="N31" i="1"/>
  <c r="M31" i="1"/>
  <c r="K31" i="1"/>
  <c r="J31" i="1"/>
  <c r="I31" i="1"/>
  <c r="H31" i="1"/>
  <c r="P28" i="1"/>
  <c r="O28" i="1"/>
  <c r="N28" i="1"/>
  <c r="M28" i="1"/>
  <c r="K28" i="1"/>
  <c r="J28" i="1"/>
  <c r="I28" i="1"/>
  <c r="H28" i="1"/>
  <c r="P16" i="1"/>
  <c r="O16" i="1"/>
  <c r="N16" i="1"/>
  <c r="M16" i="1"/>
  <c r="K16" i="1"/>
  <c r="J16" i="1"/>
  <c r="I16" i="1"/>
  <c r="H16" i="1"/>
  <c r="K251" i="1" l="1"/>
  <c r="K254" i="1"/>
  <c r="N254" i="1"/>
  <c r="N251" i="1"/>
  <c r="K157" i="1"/>
  <c r="N156" i="1"/>
  <c r="K156" i="1"/>
  <c r="K155" i="1"/>
  <c r="N155" i="1"/>
  <c r="N173" i="1"/>
  <c r="K172" i="1"/>
  <c r="K173" i="1"/>
  <c r="N172" i="1"/>
  <c r="N157" i="1"/>
  <c r="N79" i="1"/>
  <c r="K79" i="1"/>
  <c r="J84" i="1" s="1"/>
  <c r="N988" i="1"/>
  <c r="K988" i="1"/>
  <c r="N1044" i="1"/>
  <c r="N1046" i="1"/>
  <c r="K1046" i="1"/>
  <c r="P1067" i="1"/>
  <c r="K1044" i="1"/>
  <c r="K1047" i="1"/>
  <c r="N1047" i="1"/>
  <c r="N1041" i="1"/>
  <c r="K1041" i="1"/>
  <c r="N979" i="1"/>
  <c r="K979" i="1"/>
  <c r="K998" i="1"/>
  <c r="N1002" i="1"/>
  <c r="N995" i="1"/>
  <c r="K995" i="1"/>
  <c r="N998" i="1"/>
  <c r="N997" i="1"/>
  <c r="K997" i="1"/>
  <c r="K1002" i="1"/>
  <c r="K1070" i="1"/>
  <c r="N993" i="1"/>
  <c r="K993" i="1"/>
  <c r="K1018" i="1"/>
  <c r="N1001" i="1"/>
  <c r="N986" i="1"/>
  <c r="N1018" i="1"/>
  <c r="K1016" i="1"/>
  <c r="N1070" i="1"/>
  <c r="N1017" i="1"/>
  <c r="N1007" i="1"/>
  <c r="N1043" i="1"/>
  <c r="N1088" i="1"/>
  <c r="K1088" i="1"/>
  <c r="K1017" i="1"/>
  <c r="K1001" i="1"/>
  <c r="K1043" i="1"/>
  <c r="N1016" i="1"/>
  <c r="N1069" i="1"/>
  <c r="K1069" i="1"/>
  <c r="K1007" i="1"/>
  <c r="N1000" i="1"/>
  <c r="K1000" i="1"/>
  <c r="K986" i="1"/>
  <c r="K966" i="1"/>
  <c r="N966" i="1"/>
  <c r="N969" i="1"/>
  <c r="K969" i="1"/>
  <c r="K65" i="1"/>
  <c r="P13" i="1"/>
  <c r="J13" i="1"/>
  <c r="D6" i="2" s="1"/>
  <c r="H23" i="2"/>
  <c r="I23" i="2" l="1"/>
  <c r="J23" i="2"/>
  <c r="F6" i="2"/>
  <c r="J582" i="1"/>
  <c r="D18" i="2" s="1"/>
  <c r="P85" i="1"/>
  <c r="O85" i="1"/>
  <c r="N85" i="1"/>
  <c r="M85" i="1"/>
  <c r="L85" i="1"/>
  <c r="K85" i="1"/>
  <c r="J85" i="1"/>
  <c r="I85" i="1"/>
  <c r="H85" i="1"/>
  <c r="L23" i="2" l="1"/>
  <c r="P535" i="1"/>
  <c r="P169" i="1"/>
  <c r="P529" i="1"/>
  <c r="J535" i="1"/>
  <c r="D16" i="2" s="1"/>
  <c r="P210" i="1"/>
  <c r="J210" i="1"/>
  <c r="D12" i="2" s="1"/>
  <c r="P577" i="1"/>
  <c r="P990" i="1"/>
  <c r="P1072" i="1"/>
  <c r="J529" i="1"/>
  <c r="D15" i="2" s="1"/>
  <c r="D10" i="2"/>
  <c r="P84" i="1"/>
  <c r="J169" i="1"/>
  <c r="D11" i="2" s="1"/>
  <c r="J577" i="1"/>
  <c r="D17" i="2" s="1"/>
  <c r="P582" i="1"/>
  <c r="J990" i="1"/>
  <c r="D25" i="2" s="1"/>
  <c r="J1072" i="1"/>
  <c r="D26" i="2" s="1"/>
  <c r="J29" i="1"/>
  <c r="P29" i="1"/>
  <c r="J257" i="1"/>
  <c r="D13" i="2" s="1"/>
  <c r="M23" i="2" l="1"/>
  <c r="N1" i="3"/>
  <c r="P257" i="1"/>
  <c r="P76" i="1"/>
  <c r="J76" i="1"/>
  <c r="D9" i="2" l="1"/>
  <c r="F9" i="2" l="1"/>
  <c r="F11" i="2" l="1"/>
  <c r="F25" i="2"/>
  <c r="F18" i="2"/>
  <c r="F12" i="2"/>
  <c r="F26" i="2" l="1"/>
  <c r="D8" i="2" l="1"/>
  <c r="F15" i="2" l="1"/>
  <c r="F10" i="2" l="1"/>
  <c r="F8" i="2"/>
  <c r="F17" i="2"/>
  <c r="F16" i="2"/>
  <c r="P508" i="1" l="1"/>
  <c r="J508" i="1"/>
  <c r="D14" i="2" s="1"/>
  <c r="F13" i="2" l="1"/>
  <c r="F14" i="2" l="1"/>
  <c r="L39" i="2" l="1"/>
  <c r="L14" i="1" l="1"/>
  <c r="L493" i="1" s="1"/>
  <c r="L963" i="1"/>
  <c r="L7" i="1"/>
  <c r="O947" i="1" l="1"/>
  <c r="P947" i="1" s="1"/>
  <c r="O943" i="1"/>
  <c r="P943" i="1" s="1"/>
  <c r="O937" i="1"/>
  <c r="P937" i="1" s="1"/>
  <c r="O931" i="1"/>
  <c r="P931" i="1" s="1"/>
  <c r="O927" i="1"/>
  <c r="P927" i="1" s="1"/>
  <c r="O920" i="1"/>
  <c r="P920" i="1" s="1"/>
  <c r="O916" i="1"/>
  <c r="P916" i="1" s="1"/>
  <c r="O910" i="1"/>
  <c r="P910" i="1" s="1"/>
  <c r="O904" i="1"/>
  <c r="P904" i="1" s="1"/>
  <c r="O900" i="1"/>
  <c r="P900" i="1" s="1"/>
  <c r="O895" i="1"/>
  <c r="P895" i="1" s="1"/>
  <c r="O891" i="1"/>
  <c r="P891" i="1" s="1"/>
  <c r="O887" i="1"/>
  <c r="P887" i="1" s="1"/>
  <c r="O883" i="1"/>
  <c r="P883" i="1" s="1"/>
  <c r="O879" i="1"/>
  <c r="P879" i="1" s="1"/>
  <c r="O875" i="1"/>
  <c r="P875" i="1" s="1"/>
  <c r="O871" i="1"/>
  <c r="P871" i="1" s="1"/>
  <c r="O867" i="1"/>
  <c r="P867" i="1" s="1"/>
  <c r="O948" i="1"/>
  <c r="P948" i="1" s="1"/>
  <c r="O944" i="1"/>
  <c r="P944" i="1" s="1"/>
  <c r="O938" i="1"/>
  <c r="P938" i="1" s="1"/>
  <c r="O932" i="1"/>
  <c r="P932" i="1" s="1"/>
  <c r="O928" i="1"/>
  <c r="P928" i="1" s="1"/>
  <c r="O921" i="1"/>
  <c r="P921" i="1" s="1"/>
  <c r="O917" i="1"/>
  <c r="P917" i="1" s="1"/>
  <c r="O911" i="1"/>
  <c r="P911" i="1" s="1"/>
  <c r="O905" i="1"/>
  <c r="P905" i="1" s="1"/>
  <c r="O901" i="1"/>
  <c r="P901" i="1" s="1"/>
  <c r="O896" i="1"/>
  <c r="P896" i="1" s="1"/>
  <c r="O892" i="1"/>
  <c r="P892" i="1" s="1"/>
  <c r="O888" i="1"/>
  <c r="P888" i="1" s="1"/>
  <c r="O946" i="1"/>
  <c r="P946" i="1" s="1"/>
  <c r="O939" i="1"/>
  <c r="P939" i="1" s="1"/>
  <c r="O926" i="1"/>
  <c r="P926" i="1" s="1"/>
  <c r="O922" i="1"/>
  <c r="P922" i="1" s="1"/>
  <c r="O913" i="1"/>
  <c r="P913" i="1" s="1"/>
  <c r="O908" i="1"/>
  <c r="P908" i="1" s="1"/>
  <c r="O903" i="1"/>
  <c r="P903" i="1" s="1"/>
  <c r="O890" i="1"/>
  <c r="P890" i="1" s="1"/>
  <c r="O885" i="1"/>
  <c r="P885" i="1" s="1"/>
  <c r="O876" i="1"/>
  <c r="P876" i="1" s="1"/>
  <c r="O874" i="1"/>
  <c r="P874" i="1" s="1"/>
  <c r="O869" i="1"/>
  <c r="P869" i="1" s="1"/>
  <c r="O862" i="1"/>
  <c r="P862" i="1" s="1"/>
  <c r="O858" i="1"/>
  <c r="P858" i="1" s="1"/>
  <c r="O854" i="1"/>
  <c r="P854" i="1" s="1"/>
  <c r="O945" i="1"/>
  <c r="P945" i="1" s="1"/>
  <c r="O930" i="1"/>
  <c r="P930" i="1" s="1"/>
  <c r="O915" i="1"/>
  <c r="P915" i="1" s="1"/>
  <c r="O912" i="1"/>
  <c r="P912" i="1" s="1"/>
  <c r="O902" i="1"/>
  <c r="P902" i="1" s="1"/>
  <c r="O894" i="1"/>
  <c r="P894" i="1" s="1"/>
  <c r="O889" i="1"/>
  <c r="P889" i="1" s="1"/>
  <c r="O880" i="1"/>
  <c r="P880" i="1" s="1"/>
  <c r="O878" i="1"/>
  <c r="P878" i="1" s="1"/>
  <c r="O873" i="1"/>
  <c r="P873" i="1" s="1"/>
  <c r="O863" i="1"/>
  <c r="P863" i="1" s="1"/>
  <c r="O859" i="1"/>
  <c r="P859" i="1" s="1"/>
  <c r="O855" i="1"/>
  <c r="P855" i="1" s="1"/>
  <c r="O942" i="1"/>
  <c r="P942" i="1" s="1"/>
  <c r="O936" i="1"/>
  <c r="P936" i="1" s="1"/>
  <c r="O929" i="1"/>
  <c r="P929" i="1" s="1"/>
  <c r="O919" i="1"/>
  <c r="P919" i="1" s="1"/>
  <c r="O893" i="1"/>
  <c r="P893" i="1" s="1"/>
  <c r="O884" i="1"/>
  <c r="P884" i="1" s="1"/>
  <c r="O882" i="1"/>
  <c r="P882" i="1" s="1"/>
  <c r="O877" i="1"/>
  <c r="P877" i="1" s="1"/>
  <c r="O868" i="1"/>
  <c r="P868" i="1" s="1"/>
  <c r="O860" i="1"/>
  <c r="P860" i="1" s="1"/>
  <c r="O856" i="1"/>
  <c r="P856" i="1" s="1"/>
  <c r="O852" i="1"/>
  <c r="O935" i="1"/>
  <c r="P935" i="1" s="1"/>
  <c r="O886" i="1"/>
  <c r="P886" i="1" s="1"/>
  <c r="O881" i="1"/>
  <c r="P881" i="1" s="1"/>
  <c r="O857" i="1"/>
  <c r="P857" i="1" s="1"/>
  <c r="O909" i="1"/>
  <c r="P909" i="1" s="1"/>
  <c r="O897" i="1"/>
  <c r="P897" i="1" s="1"/>
  <c r="O872" i="1"/>
  <c r="P872" i="1" s="1"/>
  <c r="O870" i="1"/>
  <c r="P870" i="1" s="1"/>
  <c r="O861" i="1"/>
  <c r="P861" i="1" s="1"/>
  <c r="O866" i="1"/>
  <c r="P866" i="1" s="1"/>
  <c r="O853" i="1"/>
  <c r="P853" i="1" s="1"/>
  <c r="O918" i="1"/>
  <c r="P918" i="1" s="1"/>
  <c r="O842" i="1"/>
  <c r="P842" i="1" s="1"/>
  <c r="O837" i="1"/>
  <c r="P837" i="1" s="1"/>
  <c r="O833" i="1"/>
  <c r="P833" i="1" s="1"/>
  <c r="O829" i="1"/>
  <c r="P829" i="1" s="1"/>
  <c r="O825" i="1"/>
  <c r="P825" i="1" s="1"/>
  <c r="O821" i="1"/>
  <c r="P821" i="1" s="1"/>
  <c r="O813" i="1"/>
  <c r="P813" i="1" s="1"/>
  <c r="O806" i="1"/>
  <c r="P806" i="1" s="1"/>
  <c r="O802" i="1"/>
  <c r="P802" i="1" s="1"/>
  <c r="O798" i="1"/>
  <c r="P798" i="1" s="1"/>
  <c r="O794" i="1"/>
  <c r="P794" i="1" s="1"/>
  <c r="O790" i="1"/>
  <c r="P790" i="1" s="1"/>
  <c r="O782" i="1"/>
  <c r="P782" i="1" s="1"/>
  <c r="O778" i="1"/>
  <c r="P778" i="1" s="1"/>
  <c r="O843" i="1"/>
  <c r="P843" i="1" s="1"/>
  <c r="O838" i="1"/>
  <c r="P838" i="1" s="1"/>
  <c r="O834" i="1"/>
  <c r="P834" i="1" s="1"/>
  <c r="O830" i="1"/>
  <c r="P830" i="1" s="1"/>
  <c r="O826" i="1"/>
  <c r="P826" i="1" s="1"/>
  <c r="O822" i="1"/>
  <c r="P822" i="1" s="1"/>
  <c r="O818" i="1"/>
  <c r="P818" i="1" s="1"/>
  <c r="O814" i="1"/>
  <c r="P814" i="1" s="1"/>
  <c r="O810" i="1"/>
  <c r="P810" i="1" s="1"/>
  <c r="O807" i="1"/>
  <c r="P807" i="1" s="1"/>
  <c r="O803" i="1"/>
  <c r="P803" i="1" s="1"/>
  <c r="O799" i="1"/>
  <c r="P799" i="1" s="1"/>
  <c r="O795" i="1"/>
  <c r="P795" i="1" s="1"/>
  <c r="O791" i="1"/>
  <c r="P791" i="1" s="1"/>
  <c r="O787" i="1"/>
  <c r="P787" i="1" s="1"/>
  <c r="O783" i="1"/>
  <c r="P783" i="1" s="1"/>
  <c r="O779" i="1"/>
  <c r="P779" i="1" s="1"/>
  <c r="O844" i="1"/>
  <c r="P844" i="1" s="1"/>
  <c r="O839" i="1"/>
  <c r="P839" i="1" s="1"/>
  <c r="O835" i="1"/>
  <c r="P835" i="1" s="1"/>
  <c r="O831" i="1"/>
  <c r="P831" i="1" s="1"/>
  <c r="O827" i="1"/>
  <c r="P827" i="1" s="1"/>
  <c r="O823" i="1"/>
  <c r="P823" i="1" s="1"/>
  <c r="O819" i="1"/>
  <c r="P819" i="1" s="1"/>
  <c r="O815" i="1"/>
  <c r="P815" i="1" s="1"/>
  <c r="O811" i="1"/>
  <c r="P811" i="1" s="1"/>
  <c r="O804" i="1"/>
  <c r="P804" i="1" s="1"/>
  <c r="O800" i="1"/>
  <c r="P800" i="1" s="1"/>
  <c r="O796" i="1"/>
  <c r="P796" i="1" s="1"/>
  <c r="O792" i="1"/>
  <c r="P792" i="1" s="1"/>
  <c r="O788" i="1"/>
  <c r="P788" i="1" s="1"/>
  <c r="O784" i="1"/>
  <c r="P784" i="1" s="1"/>
  <c r="O780" i="1"/>
  <c r="P780" i="1" s="1"/>
  <c r="O772" i="1"/>
  <c r="P772" i="1" s="1"/>
  <c r="O845" i="1"/>
  <c r="P845" i="1" s="1"/>
  <c r="O824" i="1"/>
  <c r="P824" i="1" s="1"/>
  <c r="O797" i="1"/>
  <c r="P797" i="1" s="1"/>
  <c r="O773" i="1"/>
  <c r="P773" i="1" s="1"/>
  <c r="O771" i="1"/>
  <c r="P771" i="1" s="1"/>
  <c r="O769" i="1"/>
  <c r="P769" i="1" s="1"/>
  <c r="O764" i="1"/>
  <c r="P764" i="1" s="1"/>
  <c r="O753" i="1"/>
  <c r="P753" i="1" s="1"/>
  <c r="O748" i="1"/>
  <c r="P748" i="1" s="1"/>
  <c r="O744" i="1"/>
  <c r="P744" i="1" s="1"/>
  <c r="O740" i="1"/>
  <c r="P740" i="1" s="1"/>
  <c r="O735" i="1"/>
  <c r="P735" i="1" s="1"/>
  <c r="O731" i="1"/>
  <c r="P731" i="1" s="1"/>
  <c r="O727" i="1"/>
  <c r="P727" i="1" s="1"/>
  <c r="O723" i="1"/>
  <c r="P723" i="1" s="1"/>
  <c r="O828" i="1"/>
  <c r="P828" i="1" s="1"/>
  <c r="O801" i="1"/>
  <c r="P801" i="1" s="1"/>
  <c r="O777" i="1"/>
  <c r="P777" i="1" s="1"/>
  <c r="O765" i="1"/>
  <c r="P765" i="1" s="1"/>
  <c r="O761" i="1"/>
  <c r="P761" i="1" s="1"/>
  <c r="O754" i="1"/>
  <c r="P754" i="1" s="1"/>
  <c r="O749" i="1"/>
  <c r="P749" i="1" s="1"/>
  <c r="O745" i="1"/>
  <c r="P745" i="1" s="1"/>
  <c r="O741" i="1"/>
  <c r="P741" i="1" s="1"/>
  <c r="O736" i="1"/>
  <c r="P736" i="1" s="1"/>
  <c r="O732" i="1"/>
  <c r="P732" i="1" s="1"/>
  <c r="O728" i="1"/>
  <c r="P728" i="1" s="1"/>
  <c r="O724" i="1"/>
  <c r="P724" i="1" s="1"/>
  <c r="O720" i="1"/>
  <c r="P720" i="1" s="1"/>
  <c r="O715" i="1"/>
  <c r="P715" i="1" s="1"/>
  <c r="O706" i="1"/>
  <c r="P706" i="1" s="1"/>
  <c r="O832" i="1"/>
  <c r="P832" i="1" s="1"/>
  <c r="O805" i="1"/>
  <c r="P805" i="1" s="1"/>
  <c r="O789" i="1"/>
  <c r="P789" i="1" s="1"/>
  <c r="O781" i="1"/>
  <c r="P781" i="1" s="1"/>
  <c r="O770" i="1"/>
  <c r="P770" i="1" s="1"/>
  <c r="O766" i="1"/>
  <c r="P766" i="1" s="1"/>
  <c r="O758" i="1"/>
  <c r="P758" i="1" s="1"/>
  <c r="O750" i="1"/>
  <c r="P750" i="1" s="1"/>
  <c r="O746" i="1"/>
  <c r="P746" i="1" s="1"/>
  <c r="O742" i="1"/>
  <c r="P742" i="1" s="1"/>
  <c r="O738" i="1"/>
  <c r="P738" i="1" s="1"/>
  <c r="O733" i="1"/>
  <c r="P733" i="1" s="1"/>
  <c r="O729" i="1"/>
  <c r="P729" i="1" s="1"/>
  <c r="O725" i="1"/>
  <c r="P725" i="1" s="1"/>
  <c r="O721" i="1"/>
  <c r="P721" i="1" s="1"/>
  <c r="O716" i="1"/>
  <c r="P716" i="1" s="1"/>
  <c r="O711" i="1"/>
  <c r="P711" i="1" s="1"/>
  <c r="O707" i="1"/>
  <c r="P707" i="1" s="1"/>
  <c r="O703" i="1"/>
  <c r="P703" i="1" s="1"/>
  <c r="O836" i="1"/>
  <c r="P836" i="1" s="1"/>
  <c r="O793" i="1"/>
  <c r="P793" i="1" s="1"/>
  <c r="O752" i="1"/>
  <c r="P752" i="1" s="1"/>
  <c r="O747" i="1"/>
  <c r="P747" i="1" s="1"/>
  <c r="O730" i="1"/>
  <c r="P730" i="1" s="1"/>
  <c r="O712" i="1"/>
  <c r="P712" i="1" s="1"/>
  <c r="O708" i="1"/>
  <c r="P708" i="1" s="1"/>
  <c r="O700" i="1"/>
  <c r="P700" i="1" s="1"/>
  <c r="O690" i="1"/>
  <c r="P690" i="1" s="1"/>
  <c r="O686" i="1"/>
  <c r="P686" i="1" s="1"/>
  <c r="O682" i="1"/>
  <c r="P682" i="1" s="1"/>
  <c r="O678" i="1"/>
  <c r="P678" i="1" s="1"/>
  <c r="O674" i="1"/>
  <c r="P674" i="1" s="1"/>
  <c r="O670" i="1"/>
  <c r="P670" i="1" s="1"/>
  <c r="O666" i="1"/>
  <c r="P666" i="1" s="1"/>
  <c r="O662" i="1"/>
  <c r="P662" i="1" s="1"/>
  <c r="O812" i="1"/>
  <c r="P812" i="1" s="1"/>
  <c r="O751" i="1"/>
  <c r="P751" i="1" s="1"/>
  <c r="O734" i="1"/>
  <c r="P734" i="1" s="1"/>
  <c r="O714" i="1"/>
  <c r="P714" i="1" s="1"/>
  <c r="O704" i="1"/>
  <c r="P704" i="1" s="1"/>
  <c r="O702" i="1"/>
  <c r="P702" i="1" s="1"/>
  <c r="O695" i="1"/>
  <c r="P695" i="1" s="1"/>
  <c r="O691" i="1"/>
  <c r="P691" i="1" s="1"/>
  <c r="O687" i="1"/>
  <c r="P687" i="1" s="1"/>
  <c r="O683" i="1"/>
  <c r="P683" i="1" s="1"/>
  <c r="O679" i="1"/>
  <c r="P679" i="1" s="1"/>
  <c r="O675" i="1"/>
  <c r="P675" i="1" s="1"/>
  <c r="O671" i="1"/>
  <c r="P671" i="1" s="1"/>
  <c r="O667" i="1"/>
  <c r="P667" i="1" s="1"/>
  <c r="O663" i="1"/>
  <c r="P663" i="1" s="1"/>
  <c r="O659" i="1"/>
  <c r="P659" i="1" s="1"/>
  <c r="O655" i="1"/>
  <c r="P655" i="1" s="1"/>
  <c r="O651" i="1"/>
  <c r="P651" i="1" s="1"/>
  <c r="O768" i="1"/>
  <c r="P768" i="1" s="1"/>
  <c r="O739" i="1"/>
  <c r="P739" i="1" s="1"/>
  <c r="O722" i="1"/>
  <c r="P722" i="1" s="1"/>
  <c r="O718" i="1"/>
  <c r="P718" i="1" s="1"/>
  <c r="O713" i="1"/>
  <c r="P713" i="1" s="1"/>
  <c r="O701" i="1"/>
  <c r="P701" i="1" s="1"/>
  <c r="O698" i="1"/>
  <c r="P698" i="1" s="1"/>
  <c r="O696" i="1"/>
  <c r="P696" i="1" s="1"/>
  <c r="O688" i="1"/>
  <c r="P688" i="1" s="1"/>
  <c r="O684" i="1"/>
  <c r="P684" i="1" s="1"/>
  <c r="O676" i="1"/>
  <c r="P676" i="1" s="1"/>
  <c r="O672" i="1"/>
  <c r="P672" i="1" s="1"/>
  <c r="O668" i="1"/>
  <c r="P668" i="1" s="1"/>
  <c r="O664" i="1"/>
  <c r="P664" i="1" s="1"/>
  <c r="O660" i="1"/>
  <c r="P660" i="1" s="1"/>
  <c r="O656" i="1"/>
  <c r="P656" i="1" s="1"/>
  <c r="O743" i="1"/>
  <c r="P743" i="1" s="1"/>
  <c r="O689" i="1"/>
  <c r="P689" i="1" s="1"/>
  <c r="O669" i="1"/>
  <c r="P669" i="1" s="1"/>
  <c r="O658" i="1"/>
  <c r="P658" i="1" s="1"/>
  <c r="O650" i="1"/>
  <c r="P650" i="1" s="1"/>
  <c r="O645" i="1"/>
  <c r="P645" i="1" s="1"/>
  <c r="O641" i="1"/>
  <c r="P641" i="1" s="1"/>
  <c r="O654" i="1"/>
  <c r="P654" i="1" s="1"/>
  <c r="O644" i="1"/>
  <c r="P644" i="1" s="1"/>
  <c r="O640" i="1"/>
  <c r="O699" i="1"/>
  <c r="P699" i="1" s="1"/>
  <c r="O673" i="1"/>
  <c r="P673" i="1" s="1"/>
  <c r="O657" i="1"/>
  <c r="P657" i="1" s="1"/>
  <c r="O649" i="1"/>
  <c r="P649" i="1" s="1"/>
  <c r="O646" i="1"/>
  <c r="P646" i="1" s="1"/>
  <c r="O642" i="1"/>
  <c r="P642" i="1" s="1"/>
  <c r="O820" i="1"/>
  <c r="P820" i="1" s="1"/>
  <c r="O767" i="1"/>
  <c r="P767" i="1" s="1"/>
  <c r="O726" i="1"/>
  <c r="P726" i="1" s="1"/>
  <c r="O677" i="1"/>
  <c r="P677" i="1" s="1"/>
  <c r="O661" i="1"/>
  <c r="P661" i="1" s="1"/>
  <c r="O647" i="1"/>
  <c r="P647" i="1" s="1"/>
  <c r="O643" i="1"/>
  <c r="P643" i="1" s="1"/>
  <c r="O717" i="1"/>
  <c r="P717" i="1" s="1"/>
  <c r="O705" i="1"/>
  <c r="P705" i="1" s="1"/>
  <c r="O685" i="1"/>
  <c r="P685" i="1" s="1"/>
  <c r="O665" i="1"/>
  <c r="P665" i="1" s="1"/>
  <c r="O648" i="1"/>
  <c r="P648" i="1" s="1"/>
  <c r="O737" i="1"/>
  <c r="P737" i="1" s="1"/>
  <c r="O719" i="1"/>
  <c r="P719" i="1" s="1"/>
  <c r="O629" i="1"/>
  <c r="P629" i="1" s="1"/>
  <c r="O628" i="1"/>
  <c r="P628" i="1" s="1"/>
  <c r="O619" i="1"/>
  <c r="P619" i="1" s="1"/>
  <c r="O611" i="1"/>
  <c r="P611" i="1" s="1"/>
  <c r="O595" i="1"/>
  <c r="P595" i="1" s="1"/>
  <c r="O591" i="1"/>
  <c r="P591" i="1" s="1"/>
  <c r="O624" i="1"/>
  <c r="P624" i="1" s="1"/>
  <c r="O620" i="1"/>
  <c r="P620" i="1" s="1"/>
  <c r="O612" i="1"/>
  <c r="P612" i="1" s="1"/>
  <c r="O608" i="1"/>
  <c r="P608" i="1" s="1"/>
  <c r="O604" i="1"/>
  <c r="P604" i="1" s="1"/>
  <c r="O600" i="1"/>
  <c r="P600" i="1" s="1"/>
  <c r="O596" i="1"/>
  <c r="P596" i="1" s="1"/>
  <c r="O592" i="1"/>
  <c r="P592" i="1" s="1"/>
  <c r="O588" i="1"/>
  <c r="O597" i="1"/>
  <c r="P597" i="1" s="1"/>
  <c r="O618" i="1"/>
  <c r="P618" i="1" s="1"/>
  <c r="O614" i="1"/>
  <c r="P614" i="1" s="1"/>
  <c r="O602" i="1"/>
  <c r="P602" i="1" s="1"/>
  <c r="O607" i="1"/>
  <c r="P607" i="1" s="1"/>
  <c r="O599" i="1"/>
  <c r="P599" i="1" s="1"/>
  <c r="O625" i="1"/>
  <c r="P625" i="1" s="1"/>
  <c r="O621" i="1"/>
  <c r="P621" i="1" s="1"/>
  <c r="O617" i="1"/>
  <c r="P617" i="1" s="1"/>
  <c r="O613" i="1"/>
  <c r="P613" i="1" s="1"/>
  <c r="O609" i="1"/>
  <c r="P609" i="1" s="1"/>
  <c r="O605" i="1"/>
  <c r="P605" i="1" s="1"/>
  <c r="O601" i="1"/>
  <c r="P601" i="1" s="1"/>
  <c r="O589" i="1"/>
  <c r="P589" i="1" s="1"/>
  <c r="O610" i="1"/>
  <c r="P610" i="1" s="1"/>
  <c r="O606" i="1"/>
  <c r="P606" i="1" s="1"/>
  <c r="O598" i="1"/>
  <c r="P598" i="1" s="1"/>
  <c r="O590" i="1"/>
  <c r="P590" i="1" s="1"/>
  <c r="O603" i="1"/>
  <c r="P603" i="1" s="1"/>
  <c r="L199" i="1"/>
  <c r="O199" i="1" s="1"/>
  <c r="P199" i="1" s="1"/>
  <c r="L521" i="1"/>
  <c r="O521" i="1" s="1"/>
  <c r="P521" i="1" s="1"/>
  <c r="L198" i="1"/>
  <c r="O198" i="1" s="1"/>
  <c r="P198" i="1" s="1"/>
  <c r="L200" i="1"/>
  <c r="O200" i="1" s="1"/>
  <c r="P200" i="1" s="1"/>
  <c r="L203" i="1"/>
  <c r="O203" i="1" s="1"/>
  <c r="P203" i="1" s="1"/>
  <c r="L205" i="1"/>
  <c r="O205" i="1" s="1"/>
  <c r="P205" i="1" s="1"/>
  <c r="L201" i="1"/>
  <c r="O201" i="1" s="1"/>
  <c r="P201" i="1" s="1"/>
  <c r="L207" i="1"/>
  <c r="O207" i="1" s="1"/>
  <c r="P207" i="1" s="1"/>
  <c r="L202" i="1"/>
  <c r="O202" i="1" s="1"/>
  <c r="P202" i="1" s="1"/>
  <c r="L208" i="1"/>
  <c r="O208" i="1" s="1"/>
  <c r="P208" i="1" s="1"/>
  <c r="L206" i="1"/>
  <c r="O206" i="1" s="1"/>
  <c r="P206" i="1" s="1"/>
  <c r="L204" i="1"/>
  <c r="O204" i="1" s="1"/>
  <c r="P204" i="1" s="1"/>
  <c r="L968" i="1"/>
  <c r="O968" i="1" s="1"/>
  <c r="P968" i="1" s="1"/>
  <c r="L1066" i="1"/>
  <c r="O1066" i="1" s="1"/>
  <c r="P1066" i="1" s="1"/>
  <c r="L506" i="1"/>
  <c r="O506" i="1" s="1"/>
  <c r="P506" i="1" s="1"/>
  <c r="L499" i="1"/>
  <c r="O499" i="1" s="1"/>
  <c r="P499" i="1" s="1"/>
  <c r="L494" i="1"/>
  <c r="O494" i="1" s="1"/>
  <c r="P494" i="1" s="1"/>
  <c r="L502" i="1"/>
  <c r="O502" i="1" s="1"/>
  <c r="P502" i="1" s="1"/>
  <c r="L500" i="1"/>
  <c r="O500" i="1" s="1"/>
  <c r="P500" i="1" s="1"/>
  <c r="L492" i="1"/>
  <c r="O492" i="1" s="1"/>
  <c r="P492" i="1" s="1"/>
  <c r="L497" i="1"/>
  <c r="O497" i="1" s="1"/>
  <c r="P497" i="1" s="1"/>
  <c r="L495" i="1"/>
  <c r="O495" i="1" s="1"/>
  <c r="P495" i="1" s="1"/>
  <c r="L504" i="1"/>
  <c r="O504" i="1" s="1"/>
  <c r="P504" i="1" s="1"/>
  <c r="O493" i="1"/>
  <c r="P493" i="1" s="1"/>
  <c r="L496" i="1"/>
  <c r="O496" i="1" s="1"/>
  <c r="P496" i="1" s="1"/>
  <c r="L461" i="1"/>
  <c r="O461" i="1" s="1"/>
  <c r="P461" i="1" s="1"/>
  <c r="L457" i="1"/>
  <c r="O457" i="1" s="1"/>
  <c r="P457" i="1" s="1"/>
  <c r="L468" i="1"/>
  <c r="O468" i="1" s="1"/>
  <c r="P468" i="1" s="1"/>
  <c r="L456" i="1"/>
  <c r="O456" i="1" s="1"/>
  <c r="P456" i="1" s="1"/>
  <c r="L467" i="1"/>
  <c r="O467" i="1" s="1"/>
  <c r="P467" i="1" s="1"/>
  <c r="L453" i="1"/>
  <c r="O453" i="1" s="1"/>
  <c r="P453" i="1" s="1"/>
  <c r="L443" i="1"/>
  <c r="O443" i="1" s="1"/>
  <c r="P443" i="1" s="1"/>
  <c r="L458" i="1"/>
  <c r="O458" i="1" s="1"/>
  <c r="P458" i="1" s="1"/>
  <c r="L433" i="1"/>
  <c r="O433" i="1" s="1"/>
  <c r="P433" i="1" s="1"/>
  <c r="L466" i="1"/>
  <c r="O466" i="1" s="1"/>
  <c r="P466" i="1" s="1"/>
  <c r="L418" i="1"/>
  <c r="O418" i="1" s="1"/>
  <c r="P418" i="1" s="1"/>
  <c r="L417" i="1"/>
  <c r="O417" i="1" s="1"/>
  <c r="P417" i="1" s="1"/>
  <c r="L416" i="1"/>
  <c r="O416" i="1" s="1"/>
  <c r="P416" i="1" s="1"/>
  <c r="L423" i="1"/>
  <c r="O423" i="1" s="1"/>
  <c r="P423" i="1" s="1"/>
  <c r="L422" i="1"/>
  <c r="O422" i="1" s="1"/>
  <c r="P422" i="1" s="1"/>
  <c r="L448" i="1"/>
  <c r="O448" i="1" s="1"/>
  <c r="P448" i="1" s="1"/>
  <c r="L329" i="1"/>
  <c r="O329" i="1" s="1"/>
  <c r="P329" i="1" s="1"/>
  <c r="L342" i="1"/>
  <c r="O342" i="1" s="1"/>
  <c r="P342" i="1" s="1"/>
  <c r="L336" i="1"/>
  <c r="O336" i="1" s="1"/>
  <c r="P336" i="1" s="1"/>
  <c r="L331" i="1"/>
  <c r="O331" i="1" s="1"/>
  <c r="P331" i="1" s="1"/>
  <c r="L427" i="1"/>
  <c r="O427" i="1" s="1"/>
  <c r="P427" i="1" s="1"/>
  <c r="L401" i="1"/>
  <c r="O401" i="1" s="1"/>
  <c r="P401" i="1" s="1"/>
  <c r="L395" i="1"/>
  <c r="O395" i="1" s="1"/>
  <c r="P395" i="1" s="1"/>
  <c r="L334" i="1"/>
  <c r="O334" i="1" s="1"/>
  <c r="P334" i="1" s="1"/>
  <c r="L327" i="1"/>
  <c r="O327" i="1" s="1"/>
  <c r="P327" i="1" s="1"/>
  <c r="L317" i="1"/>
  <c r="O317" i="1" s="1"/>
  <c r="P317" i="1" s="1"/>
  <c r="L438" i="1"/>
  <c r="O438" i="1" s="1"/>
  <c r="P438" i="1" s="1"/>
  <c r="L405" i="1"/>
  <c r="O405" i="1" s="1"/>
  <c r="P405" i="1" s="1"/>
  <c r="L338" i="1"/>
  <c r="O338" i="1" s="1"/>
  <c r="P338" i="1" s="1"/>
  <c r="L324" i="1"/>
  <c r="O324" i="1" s="1"/>
  <c r="P324" i="1" s="1"/>
  <c r="L274" i="1"/>
  <c r="O274" i="1" s="1"/>
  <c r="P274" i="1" s="1"/>
  <c r="L267" i="1"/>
  <c r="O267" i="1" s="1"/>
  <c r="P267" i="1" s="1"/>
  <c r="L285" i="1"/>
  <c r="O285" i="1" s="1"/>
  <c r="P285" i="1" s="1"/>
  <c r="L276" i="1"/>
  <c r="O276" i="1" s="1"/>
  <c r="P276" i="1" s="1"/>
  <c r="L388" i="1"/>
  <c r="O388" i="1" s="1"/>
  <c r="P388" i="1" s="1"/>
  <c r="L263" i="1"/>
  <c r="O263" i="1" s="1"/>
  <c r="P263" i="1" s="1"/>
  <c r="L277" i="1"/>
  <c r="O277" i="1" s="1"/>
  <c r="P277" i="1" s="1"/>
  <c r="L284" i="1"/>
  <c r="O284" i="1" s="1"/>
  <c r="P284" i="1" s="1"/>
  <c r="L293" i="1"/>
  <c r="O293" i="1" s="1"/>
  <c r="P293" i="1" s="1"/>
  <c r="L307" i="1"/>
  <c r="O307" i="1" s="1"/>
  <c r="P307" i="1" s="1"/>
  <c r="L406" i="1"/>
  <c r="O406" i="1" s="1"/>
  <c r="P406" i="1" s="1"/>
  <c r="L266" i="1"/>
  <c r="O266" i="1" s="1"/>
  <c r="P266" i="1" s="1"/>
  <c r="L280" i="1"/>
  <c r="O280" i="1" s="1"/>
  <c r="P280" i="1" s="1"/>
  <c r="L308" i="1"/>
  <c r="O308" i="1" s="1"/>
  <c r="P308" i="1" s="1"/>
  <c r="L319" i="1"/>
  <c r="O319" i="1" s="1"/>
  <c r="P319" i="1" s="1"/>
  <c r="L396" i="1"/>
  <c r="O396" i="1" s="1"/>
  <c r="P396" i="1" s="1"/>
  <c r="L323" i="1"/>
  <c r="O323" i="1" s="1"/>
  <c r="P323" i="1" s="1"/>
  <c r="L337" i="1"/>
  <c r="O337" i="1" s="1"/>
  <c r="P337" i="1" s="1"/>
  <c r="L344" i="1"/>
  <c r="O344" i="1" s="1"/>
  <c r="P344" i="1" s="1"/>
  <c r="L358" i="1"/>
  <c r="O358" i="1" s="1"/>
  <c r="P358" i="1" s="1"/>
  <c r="L372" i="1"/>
  <c r="O372" i="1" s="1"/>
  <c r="P372" i="1" s="1"/>
  <c r="L386" i="1"/>
  <c r="O386" i="1" s="1"/>
  <c r="P386" i="1" s="1"/>
  <c r="L349" i="1"/>
  <c r="O349" i="1" s="1"/>
  <c r="P349" i="1" s="1"/>
  <c r="L356" i="1"/>
  <c r="O356" i="1" s="1"/>
  <c r="P356" i="1" s="1"/>
  <c r="L363" i="1"/>
  <c r="O363" i="1" s="1"/>
  <c r="P363" i="1" s="1"/>
  <c r="L370" i="1"/>
  <c r="O370" i="1" s="1"/>
  <c r="P370" i="1" s="1"/>
  <c r="L377" i="1"/>
  <c r="O377" i="1" s="1"/>
  <c r="P377" i="1" s="1"/>
  <c r="L387" i="1"/>
  <c r="O387" i="1" s="1"/>
  <c r="P387" i="1" s="1"/>
  <c r="L413" i="1"/>
  <c r="O413" i="1" s="1"/>
  <c r="P413" i="1" s="1"/>
  <c r="L411" i="1"/>
  <c r="O411" i="1" s="1"/>
  <c r="P411" i="1" s="1"/>
  <c r="L397" i="1"/>
  <c r="O397" i="1" s="1"/>
  <c r="P397" i="1" s="1"/>
  <c r="L407" i="1"/>
  <c r="O407" i="1" s="1"/>
  <c r="P407" i="1" s="1"/>
  <c r="L419" i="1"/>
  <c r="O419" i="1" s="1"/>
  <c r="P419" i="1" s="1"/>
  <c r="L429" i="1"/>
  <c r="O429" i="1" s="1"/>
  <c r="P429" i="1" s="1"/>
  <c r="L462" i="1"/>
  <c r="O462" i="1" s="1"/>
  <c r="P462" i="1" s="1"/>
  <c r="L437" i="1"/>
  <c r="O437" i="1" s="1"/>
  <c r="P437" i="1" s="1"/>
  <c r="L447" i="1"/>
  <c r="O447" i="1" s="1"/>
  <c r="P447" i="1" s="1"/>
  <c r="L470" i="1"/>
  <c r="O470" i="1" s="1"/>
  <c r="P470" i="1" s="1"/>
  <c r="L315" i="1"/>
  <c r="O315" i="1" s="1"/>
  <c r="P315" i="1" s="1"/>
  <c r="L281" i="1"/>
  <c r="O281" i="1" s="1"/>
  <c r="P281" i="1" s="1"/>
  <c r="L300" i="1"/>
  <c r="O300" i="1" s="1"/>
  <c r="P300" i="1" s="1"/>
  <c r="L291" i="1"/>
  <c r="O291" i="1" s="1"/>
  <c r="P291" i="1" s="1"/>
  <c r="L294" i="1"/>
  <c r="O294" i="1" s="1"/>
  <c r="P294" i="1" s="1"/>
  <c r="L287" i="1"/>
  <c r="O287" i="1" s="1"/>
  <c r="P287" i="1" s="1"/>
  <c r="L292" i="1"/>
  <c r="O292" i="1" s="1"/>
  <c r="P292" i="1" s="1"/>
  <c r="L304" i="1"/>
  <c r="O304" i="1" s="1"/>
  <c r="P304" i="1" s="1"/>
  <c r="L272" i="1"/>
  <c r="O272" i="1" s="1"/>
  <c r="P272" i="1" s="1"/>
  <c r="L290" i="1"/>
  <c r="O290" i="1" s="1"/>
  <c r="P290" i="1" s="1"/>
  <c r="L297" i="1"/>
  <c r="O297" i="1" s="1"/>
  <c r="P297" i="1" s="1"/>
  <c r="L302" i="1"/>
  <c r="O302" i="1" s="1"/>
  <c r="P302" i="1" s="1"/>
  <c r="L383" i="1"/>
  <c r="O383" i="1" s="1"/>
  <c r="P383" i="1" s="1"/>
  <c r="L400" i="1"/>
  <c r="O400" i="1" s="1"/>
  <c r="P400" i="1" s="1"/>
  <c r="L286" i="1"/>
  <c r="O286" i="1" s="1"/>
  <c r="P286" i="1" s="1"/>
  <c r="L298" i="1"/>
  <c r="O298" i="1" s="1"/>
  <c r="P298" i="1" s="1"/>
  <c r="L412" i="1"/>
  <c r="O412" i="1" s="1"/>
  <c r="P412" i="1" s="1"/>
  <c r="L271" i="1"/>
  <c r="O271" i="1" s="1"/>
  <c r="P271" i="1" s="1"/>
  <c r="L303" i="1"/>
  <c r="O303" i="1" s="1"/>
  <c r="P303" i="1" s="1"/>
  <c r="L310" i="1"/>
  <c r="O310" i="1" s="1"/>
  <c r="P310" i="1" s="1"/>
  <c r="L320" i="1"/>
  <c r="O320" i="1" s="1"/>
  <c r="P320" i="1" s="1"/>
  <c r="L325" i="1"/>
  <c r="O325" i="1" s="1"/>
  <c r="P325" i="1" s="1"/>
  <c r="L389" i="1"/>
  <c r="O389" i="1" s="1"/>
  <c r="P389" i="1" s="1"/>
  <c r="L328" i="1"/>
  <c r="O328" i="1" s="1"/>
  <c r="P328" i="1" s="1"/>
  <c r="L339" i="1"/>
  <c r="O339" i="1" s="1"/>
  <c r="P339" i="1" s="1"/>
  <c r="L353" i="1"/>
  <c r="O353" i="1" s="1"/>
  <c r="P353" i="1" s="1"/>
  <c r="L367" i="1"/>
  <c r="O367" i="1" s="1"/>
  <c r="P367" i="1" s="1"/>
  <c r="L381" i="1"/>
  <c r="O381" i="1" s="1"/>
  <c r="P381" i="1" s="1"/>
  <c r="L343" i="1"/>
  <c r="O343" i="1" s="1"/>
  <c r="P343" i="1" s="1"/>
  <c r="L350" i="1"/>
  <c r="O350" i="1" s="1"/>
  <c r="P350" i="1" s="1"/>
  <c r="L357" i="1"/>
  <c r="O357" i="1" s="1"/>
  <c r="P357" i="1" s="1"/>
  <c r="L364" i="1"/>
  <c r="O364" i="1" s="1"/>
  <c r="P364" i="1" s="1"/>
  <c r="L371" i="1"/>
  <c r="O371" i="1" s="1"/>
  <c r="P371" i="1" s="1"/>
  <c r="L378" i="1"/>
  <c r="O378" i="1" s="1"/>
  <c r="P378" i="1" s="1"/>
  <c r="L399" i="1"/>
  <c r="O399" i="1" s="1"/>
  <c r="P399" i="1" s="1"/>
  <c r="L409" i="1"/>
  <c r="O409" i="1" s="1"/>
  <c r="P409" i="1" s="1"/>
  <c r="L432" i="1"/>
  <c r="O432" i="1" s="1"/>
  <c r="P432" i="1" s="1"/>
  <c r="L421" i="1"/>
  <c r="O421" i="1" s="1"/>
  <c r="P421" i="1" s="1"/>
  <c r="L431" i="1"/>
  <c r="O431" i="1" s="1"/>
  <c r="P431" i="1" s="1"/>
  <c r="L463" i="1"/>
  <c r="O463" i="1" s="1"/>
  <c r="P463" i="1" s="1"/>
  <c r="L265" i="1"/>
  <c r="O265" i="1" s="1"/>
  <c r="P265" i="1" s="1"/>
  <c r="L288" i="1"/>
  <c r="O288" i="1" s="1"/>
  <c r="P288" i="1" s="1"/>
  <c r="L282" i="1"/>
  <c r="O282" i="1" s="1"/>
  <c r="P282" i="1" s="1"/>
  <c r="L312" i="1"/>
  <c r="O312" i="1" s="1"/>
  <c r="P312" i="1" s="1"/>
  <c r="L278" i="1"/>
  <c r="O278" i="1" s="1"/>
  <c r="P278" i="1" s="1"/>
  <c r="L313" i="1"/>
  <c r="O313" i="1" s="1"/>
  <c r="P313" i="1" s="1"/>
  <c r="L262" i="1"/>
  <c r="O262" i="1" s="1"/>
  <c r="P262" i="1" s="1"/>
  <c r="L306" i="1"/>
  <c r="O306" i="1" s="1"/>
  <c r="P306" i="1" s="1"/>
  <c r="L270" i="1"/>
  <c r="O270" i="1" s="1"/>
  <c r="P270" i="1" s="1"/>
  <c r="L394" i="1"/>
  <c r="O394" i="1" s="1"/>
  <c r="P394" i="1" s="1"/>
  <c r="L410" i="1"/>
  <c r="O410" i="1" s="1"/>
  <c r="P410" i="1" s="1"/>
  <c r="L393" i="1"/>
  <c r="O393" i="1" s="1"/>
  <c r="P393" i="1" s="1"/>
  <c r="L273" i="1"/>
  <c r="O273" i="1" s="1"/>
  <c r="P273" i="1" s="1"/>
  <c r="L332" i="1"/>
  <c r="O332" i="1" s="1"/>
  <c r="P332" i="1" s="1"/>
  <c r="L385" i="1"/>
  <c r="O385" i="1" s="1"/>
  <c r="P385" i="1" s="1"/>
  <c r="L316" i="1"/>
  <c r="O316" i="1" s="1"/>
  <c r="P316" i="1" s="1"/>
  <c r="L330" i="1"/>
  <c r="O330" i="1" s="1"/>
  <c r="P330" i="1" s="1"/>
  <c r="L351" i="1"/>
  <c r="O351" i="1" s="1"/>
  <c r="P351" i="1" s="1"/>
  <c r="L365" i="1"/>
  <c r="O365" i="1" s="1"/>
  <c r="P365" i="1" s="1"/>
  <c r="L347" i="1"/>
  <c r="O347" i="1" s="1"/>
  <c r="P347" i="1" s="1"/>
  <c r="L354" i="1"/>
  <c r="O354" i="1" s="1"/>
  <c r="P354" i="1" s="1"/>
  <c r="L361" i="1"/>
  <c r="O361" i="1" s="1"/>
  <c r="P361" i="1" s="1"/>
  <c r="L368" i="1"/>
  <c r="O368" i="1" s="1"/>
  <c r="P368" i="1" s="1"/>
  <c r="L375" i="1"/>
  <c r="O375" i="1" s="1"/>
  <c r="P375" i="1" s="1"/>
  <c r="L345" i="1"/>
  <c r="O345" i="1" s="1"/>
  <c r="P345" i="1" s="1"/>
  <c r="L352" i="1"/>
  <c r="O352" i="1" s="1"/>
  <c r="P352" i="1" s="1"/>
  <c r="L359" i="1"/>
  <c r="O359" i="1" s="1"/>
  <c r="P359" i="1" s="1"/>
  <c r="L366" i="1"/>
  <c r="O366" i="1" s="1"/>
  <c r="P366" i="1" s="1"/>
  <c r="L373" i="1"/>
  <c r="O373" i="1" s="1"/>
  <c r="P373" i="1" s="1"/>
  <c r="L380" i="1"/>
  <c r="O380" i="1" s="1"/>
  <c r="P380" i="1" s="1"/>
  <c r="L390" i="1"/>
  <c r="O390" i="1" s="1"/>
  <c r="P390" i="1" s="1"/>
  <c r="L402" i="1"/>
  <c r="O402" i="1" s="1"/>
  <c r="P402" i="1" s="1"/>
  <c r="L428" i="1"/>
  <c r="O428" i="1" s="1"/>
  <c r="P428" i="1" s="1"/>
  <c r="L424" i="1"/>
  <c r="O424" i="1" s="1"/>
  <c r="P424" i="1" s="1"/>
  <c r="L434" i="1"/>
  <c r="O434" i="1" s="1"/>
  <c r="P434" i="1" s="1"/>
  <c r="L439" i="1"/>
  <c r="O439" i="1" s="1"/>
  <c r="P439" i="1" s="1"/>
  <c r="L444" i="1"/>
  <c r="O444" i="1" s="1"/>
  <c r="P444" i="1" s="1"/>
  <c r="L449" i="1"/>
  <c r="O449" i="1" s="1"/>
  <c r="P449" i="1" s="1"/>
  <c r="L454" i="1"/>
  <c r="O454" i="1" s="1"/>
  <c r="P454" i="1" s="1"/>
  <c r="L464" i="1"/>
  <c r="O464" i="1" s="1"/>
  <c r="P464" i="1" s="1"/>
  <c r="L442" i="1"/>
  <c r="O442" i="1" s="1"/>
  <c r="P442" i="1" s="1"/>
  <c r="L452" i="1"/>
  <c r="O452" i="1" s="1"/>
  <c r="P452" i="1" s="1"/>
  <c r="L269" i="1"/>
  <c r="O269" i="1" s="1"/>
  <c r="P269" i="1" s="1"/>
  <c r="L299" i="1"/>
  <c r="O299" i="1" s="1"/>
  <c r="P299" i="1" s="1"/>
  <c r="L279" i="1"/>
  <c r="O279" i="1" s="1"/>
  <c r="P279" i="1" s="1"/>
  <c r="L295" i="1"/>
  <c r="O295" i="1" s="1"/>
  <c r="P295" i="1" s="1"/>
  <c r="L311" i="1"/>
  <c r="O311" i="1" s="1"/>
  <c r="P311" i="1" s="1"/>
  <c r="L264" i="1"/>
  <c r="O264" i="1" s="1"/>
  <c r="P264" i="1" s="1"/>
  <c r="L340" i="1"/>
  <c r="O340" i="1" s="1"/>
  <c r="P340" i="1" s="1"/>
  <c r="L321" i="1"/>
  <c r="O321" i="1" s="1"/>
  <c r="P321" i="1" s="1"/>
  <c r="L335" i="1"/>
  <c r="O335" i="1" s="1"/>
  <c r="P335" i="1" s="1"/>
  <c r="L360" i="1"/>
  <c r="O360" i="1" s="1"/>
  <c r="P360" i="1" s="1"/>
  <c r="L392" i="1"/>
  <c r="O392" i="1" s="1"/>
  <c r="P392" i="1" s="1"/>
  <c r="L441" i="1"/>
  <c r="O441" i="1" s="1"/>
  <c r="P441" i="1" s="1"/>
  <c r="L374" i="1"/>
  <c r="O374" i="1" s="1"/>
  <c r="P374" i="1" s="1"/>
  <c r="L346" i="1"/>
  <c r="O346" i="1" s="1"/>
  <c r="P346" i="1" s="1"/>
  <c r="L471" i="1"/>
  <c r="O471" i="1" s="1"/>
  <c r="P471" i="1" s="1"/>
  <c r="L404" i="1"/>
  <c r="O404" i="1" s="1"/>
  <c r="P404" i="1" s="1"/>
  <c r="L472" i="1"/>
  <c r="O472" i="1" s="1"/>
  <c r="P472" i="1" s="1"/>
  <c r="L446" i="1"/>
  <c r="O446" i="1" s="1"/>
  <c r="P446" i="1" s="1"/>
  <c r="L415" i="1"/>
  <c r="O415" i="1" s="1"/>
  <c r="P415" i="1" s="1"/>
  <c r="L436" i="1"/>
  <c r="O436" i="1" s="1"/>
  <c r="P436" i="1" s="1"/>
  <c r="L382" i="1"/>
  <c r="O382" i="1" s="1"/>
  <c r="P382" i="1" s="1"/>
  <c r="L426" i="1"/>
  <c r="O426" i="1" s="1"/>
  <c r="P426" i="1" s="1"/>
  <c r="L451" i="1"/>
  <c r="O451" i="1" s="1"/>
  <c r="P451" i="1" s="1"/>
  <c r="L459" i="1"/>
  <c r="O459" i="1" s="1"/>
  <c r="P459" i="1" s="1"/>
  <c r="L379" i="1"/>
  <c r="O379" i="1" s="1"/>
  <c r="P379" i="1" s="1"/>
  <c r="L197" i="1"/>
  <c r="O197" i="1" s="1"/>
  <c r="P197" i="1" s="1"/>
  <c r="L195" i="1"/>
  <c r="O195" i="1" s="1"/>
  <c r="P195" i="1" s="1"/>
  <c r="L192" i="1"/>
  <c r="O192" i="1" s="1"/>
  <c r="P192" i="1" s="1"/>
  <c r="L194" i="1"/>
  <c r="O194" i="1" s="1"/>
  <c r="P194" i="1" s="1"/>
  <c r="L193" i="1"/>
  <c r="O193" i="1" s="1"/>
  <c r="P193" i="1" s="1"/>
  <c r="L184" i="1"/>
  <c r="O184" i="1" s="1"/>
  <c r="P184" i="1" s="1"/>
  <c r="L190" i="1"/>
  <c r="O190" i="1" s="1"/>
  <c r="P190" i="1" s="1"/>
  <c r="L187" i="1"/>
  <c r="O187" i="1" s="1"/>
  <c r="P187" i="1" s="1"/>
  <c r="L186" i="1"/>
  <c r="O186" i="1" s="1"/>
  <c r="P186" i="1" s="1"/>
  <c r="L188" i="1"/>
  <c r="O188" i="1" s="1"/>
  <c r="P188" i="1" s="1"/>
  <c r="L182" i="1"/>
  <c r="O182" i="1" s="1"/>
  <c r="P182" i="1" s="1"/>
  <c r="L181" i="1"/>
  <c r="O181" i="1" s="1"/>
  <c r="P181" i="1" s="1"/>
  <c r="L179" i="1"/>
  <c r="O179" i="1" s="1"/>
  <c r="P179" i="1" s="1"/>
  <c r="L178" i="1"/>
  <c r="O178" i="1" s="1"/>
  <c r="P178" i="1" s="1"/>
  <c r="L176" i="1"/>
  <c r="O176" i="1" s="1"/>
  <c r="P176" i="1" s="1"/>
  <c r="L175" i="1"/>
  <c r="O175" i="1" s="1"/>
  <c r="P175" i="1" s="1"/>
  <c r="L159" i="1"/>
  <c r="O159" i="1" s="1"/>
  <c r="P159" i="1" s="1"/>
  <c r="L167" i="1"/>
  <c r="O167" i="1" s="1"/>
  <c r="P167" i="1" s="1"/>
  <c r="L163" i="1"/>
  <c r="O163" i="1" s="1"/>
  <c r="P163" i="1" s="1"/>
  <c r="L166" i="1"/>
  <c r="O166" i="1" s="1"/>
  <c r="P166" i="1" s="1"/>
  <c r="L165" i="1"/>
  <c r="O165" i="1" s="1"/>
  <c r="P165" i="1" s="1"/>
  <c r="L164" i="1"/>
  <c r="O164" i="1" s="1"/>
  <c r="P164" i="1" s="1"/>
  <c r="L82" i="1"/>
  <c r="O82" i="1" s="1"/>
  <c r="P82" i="1" s="1"/>
  <c r="L81" i="1"/>
  <c r="O81" i="1" s="1"/>
  <c r="P81" i="1" s="1"/>
  <c r="L563" i="1"/>
  <c r="O563" i="1" s="1"/>
  <c r="P563" i="1" s="1"/>
  <c r="L565" i="1"/>
  <c r="O565" i="1" s="1"/>
  <c r="P565" i="1" s="1"/>
  <c r="L252" i="1"/>
  <c r="O252" i="1" s="1"/>
  <c r="P252" i="1" s="1"/>
  <c r="L564" i="1"/>
  <c r="O564" i="1" s="1"/>
  <c r="P564" i="1" s="1"/>
  <c r="L250" i="1"/>
  <c r="O250" i="1" s="1"/>
  <c r="P250" i="1" s="1"/>
  <c r="L253" i="1"/>
  <c r="O253" i="1" s="1"/>
  <c r="P253" i="1" s="1"/>
  <c r="L254" i="1"/>
  <c r="O254" i="1" s="1"/>
  <c r="P254" i="1" s="1"/>
  <c r="L251" i="1"/>
  <c r="O251" i="1" s="1"/>
  <c r="P251" i="1" s="1"/>
  <c r="L569" i="1"/>
  <c r="O569" i="1" s="1"/>
  <c r="P569" i="1" s="1"/>
  <c r="L580" i="1"/>
  <c r="O580" i="1" s="1"/>
  <c r="L566" i="1"/>
  <c r="O566" i="1" s="1"/>
  <c r="P566" i="1" s="1"/>
  <c r="L556" i="1"/>
  <c r="O556" i="1" s="1"/>
  <c r="P556" i="1" s="1"/>
  <c r="L554" i="1"/>
  <c r="O554" i="1" s="1"/>
  <c r="P554" i="1" s="1"/>
  <c r="L550" i="1"/>
  <c r="O550" i="1" s="1"/>
  <c r="P550" i="1" s="1"/>
  <c r="L547" i="1"/>
  <c r="O547" i="1" s="1"/>
  <c r="P547" i="1" s="1"/>
  <c r="L543" i="1"/>
  <c r="O543" i="1" s="1"/>
  <c r="P543" i="1" s="1"/>
  <c r="L540" i="1"/>
  <c r="O540" i="1" s="1"/>
  <c r="P540" i="1" s="1"/>
  <c r="L539" i="1"/>
  <c r="O539" i="1" s="1"/>
  <c r="P539" i="1" s="1"/>
  <c r="L542" i="1"/>
  <c r="O542" i="1" s="1"/>
  <c r="P542" i="1" s="1"/>
  <c r="L527" i="1"/>
  <c r="O527" i="1" s="1"/>
  <c r="P527" i="1" s="1"/>
  <c r="L551" i="1"/>
  <c r="O551" i="1" s="1"/>
  <c r="P551" i="1" s="1"/>
  <c r="L525" i="1"/>
  <c r="O525" i="1" s="1"/>
  <c r="P525" i="1" s="1"/>
  <c r="L562" i="1"/>
  <c r="O562" i="1" s="1"/>
  <c r="P562" i="1" s="1"/>
  <c r="L573" i="1"/>
  <c r="O573" i="1" s="1"/>
  <c r="P573" i="1" s="1"/>
  <c r="L555" i="1"/>
  <c r="O555" i="1" s="1"/>
  <c r="P555" i="1" s="1"/>
  <c r="L553" i="1"/>
  <c r="O553" i="1" s="1"/>
  <c r="P553" i="1" s="1"/>
  <c r="L549" i="1"/>
  <c r="O549" i="1" s="1"/>
  <c r="P549" i="1" s="1"/>
  <c r="L546" i="1"/>
  <c r="O546" i="1" s="1"/>
  <c r="P546" i="1" s="1"/>
  <c r="L538" i="1"/>
  <c r="O538" i="1" s="1"/>
  <c r="P538" i="1" s="1"/>
  <c r="L560" i="1"/>
  <c r="O560" i="1" s="1"/>
  <c r="P560" i="1" s="1"/>
  <c r="L567" i="1"/>
  <c r="O567" i="1" s="1"/>
  <c r="P567" i="1" s="1"/>
  <c r="L544" i="1"/>
  <c r="O544" i="1" s="1"/>
  <c r="P544" i="1" s="1"/>
  <c r="L561" i="1"/>
  <c r="O561" i="1" s="1"/>
  <c r="P561" i="1" s="1"/>
  <c r="L558" i="1"/>
  <c r="O558" i="1" s="1"/>
  <c r="P558" i="1" s="1"/>
  <c r="L575" i="1"/>
  <c r="O575" i="1" s="1"/>
  <c r="P575" i="1" s="1"/>
  <c r="L552" i="1"/>
  <c r="O552" i="1" s="1"/>
  <c r="P552" i="1" s="1"/>
  <c r="L548" i="1"/>
  <c r="O548" i="1" s="1"/>
  <c r="P548" i="1" s="1"/>
  <c r="L545" i="1"/>
  <c r="O545" i="1" s="1"/>
  <c r="P545" i="1" s="1"/>
  <c r="L572" i="1"/>
  <c r="O572" i="1" s="1"/>
  <c r="P572" i="1" s="1"/>
  <c r="L526" i="1"/>
  <c r="O526" i="1" s="1"/>
  <c r="P526" i="1" s="1"/>
  <c r="L571" i="1"/>
  <c r="O571" i="1" s="1"/>
  <c r="L557" i="1"/>
  <c r="O557" i="1" s="1"/>
  <c r="P557" i="1" s="1"/>
  <c r="L574" i="1"/>
  <c r="O574" i="1" s="1"/>
  <c r="P574" i="1" s="1"/>
  <c r="L541" i="1"/>
  <c r="O541" i="1" s="1"/>
  <c r="P541" i="1" s="1"/>
  <c r="L533" i="1"/>
  <c r="O533" i="1" s="1"/>
  <c r="P533" i="1" s="1"/>
  <c r="L532" i="1"/>
  <c r="O532" i="1" s="1"/>
  <c r="L523" i="1"/>
  <c r="O523" i="1" s="1"/>
  <c r="P523" i="1" s="1"/>
  <c r="L519" i="1"/>
  <c r="O519" i="1" s="1"/>
  <c r="P519" i="1" s="1"/>
  <c r="L517" i="1"/>
  <c r="O517" i="1" s="1"/>
  <c r="P517" i="1" s="1"/>
  <c r="L515" i="1"/>
  <c r="O515" i="1" s="1"/>
  <c r="P515" i="1" s="1"/>
  <c r="L513" i="1"/>
  <c r="O513" i="1" s="1"/>
  <c r="P513" i="1" s="1"/>
  <c r="L511" i="1"/>
  <c r="O511" i="1" s="1"/>
  <c r="L518" i="1"/>
  <c r="O518" i="1" s="1"/>
  <c r="P518" i="1" s="1"/>
  <c r="L516" i="1"/>
  <c r="O516" i="1" s="1"/>
  <c r="P516" i="1" s="1"/>
  <c r="L514" i="1"/>
  <c r="O514" i="1" s="1"/>
  <c r="P514" i="1" s="1"/>
  <c r="L512" i="1"/>
  <c r="O512" i="1" s="1"/>
  <c r="P512" i="1" s="1"/>
  <c r="L484" i="1"/>
  <c r="O484" i="1" s="1"/>
  <c r="P484" i="1" s="1"/>
  <c r="L480" i="1"/>
  <c r="O480" i="1" s="1"/>
  <c r="P480" i="1" s="1"/>
  <c r="L477" i="1"/>
  <c r="O477" i="1" s="1"/>
  <c r="P477" i="1" s="1"/>
  <c r="L474" i="1"/>
  <c r="O474" i="1" s="1"/>
  <c r="P474" i="1" s="1"/>
  <c r="L488" i="1"/>
  <c r="O488" i="1" s="1"/>
  <c r="P488" i="1" s="1"/>
  <c r="L481" i="1"/>
  <c r="O481" i="1" s="1"/>
  <c r="P481" i="1" s="1"/>
  <c r="L483" i="1"/>
  <c r="O483" i="1" s="1"/>
  <c r="P483" i="1" s="1"/>
  <c r="L475" i="1"/>
  <c r="O475" i="1" s="1"/>
  <c r="P475" i="1" s="1"/>
  <c r="L489" i="1"/>
  <c r="O489" i="1" s="1"/>
  <c r="P489" i="1" s="1"/>
  <c r="L486" i="1"/>
  <c r="O486" i="1" s="1"/>
  <c r="P486" i="1" s="1"/>
  <c r="L478" i="1"/>
  <c r="O478" i="1" s="1"/>
  <c r="P478" i="1" s="1"/>
  <c r="L476" i="1"/>
  <c r="O476" i="1" s="1"/>
  <c r="P476" i="1" s="1"/>
  <c r="L246" i="1"/>
  <c r="O246" i="1" s="1"/>
  <c r="P246" i="1" s="1"/>
  <c r="L244" i="1"/>
  <c r="O244" i="1" s="1"/>
  <c r="P244" i="1" s="1"/>
  <c r="L242" i="1"/>
  <c r="O242" i="1" s="1"/>
  <c r="P242" i="1" s="1"/>
  <c r="L240" i="1"/>
  <c r="O240" i="1" s="1"/>
  <c r="P240" i="1" s="1"/>
  <c r="L238" i="1"/>
  <c r="O238" i="1" s="1"/>
  <c r="P238" i="1" s="1"/>
  <c r="L236" i="1"/>
  <c r="O236" i="1" s="1"/>
  <c r="P236" i="1" s="1"/>
  <c r="L234" i="1"/>
  <c r="O234" i="1" s="1"/>
  <c r="P234" i="1" s="1"/>
  <c r="L232" i="1"/>
  <c r="O232" i="1" s="1"/>
  <c r="P232" i="1" s="1"/>
  <c r="L230" i="1"/>
  <c r="O230" i="1" s="1"/>
  <c r="P230" i="1" s="1"/>
  <c r="L228" i="1"/>
  <c r="O228" i="1" s="1"/>
  <c r="P228" i="1" s="1"/>
  <c r="L226" i="1"/>
  <c r="O226" i="1" s="1"/>
  <c r="P226" i="1" s="1"/>
  <c r="L224" i="1"/>
  <c r="O224" i="1" s="1"/>
  <c r="P224" i="1" s="1"/>
  <c r="L222" i="1"/>
  <c r="O222" i="1" s="1"/>
  <c r="P222" i="1" s="1"/>
  <c r="L220" i="1"/>
  <c r="O220" i="1" s="1"/>
  <c r="P220" i="1" s="1"/>
  <c r="L218" i="1"/>
  <c r="O218" i="1" s="1"/>
  <c r="P218" i="1" s="1"/>
  <c r="L216" i="1"/>
  <c r="O216" i="1" s="1"/>
  <c r="P216" i="1" s="1"/>
  <c r="L249" i="1"/>
  <c r="O249" i="1" s="1"/>
  <c r="P249" i="1" s="1"/>
  <c r="L247" i="1"/>
  <c r="O247" i="1" s="1"/>
  <c r="P247" i="1" s="1"/>
  <c r="L245" i="1"/>
  <c r="O245" i="1" s="1"/>
  <c r="P245" i="1" s="1"/>
  <c r="L243" i="1"/>
  <c r="O243" i="1" s="1"/>
  <c r="P243" i="1" s="1"/>
  <c r="L241" i="1"/>
  <c r="O241" i="1" s="1"/>
  <c r="P241" i="1" s="1"/>
  <c r="L239" i="1"/>
  <c r="O239" i="1" s="1"/>
  <c r="P239" i="1" s="1"/>
  <c r="L237" i="1"/>
  <c r="O237" i="1" s="1"/>
  <c r="P237" i="1" s="1"/>
  <c r="L235" i="1"/>
  <c r="O235" i="1" s="1"/>
  <c r="P235" i="1" s="1"/>
  <c r="L233" i="1"/>
  <c r="O233" i="1" s="1"/>
  <c r="P233" i="1" s="1"/>
  <c r="L231" i="1"/>
  <c r="O231" i="1" s="1"/>
  <c r="P231" i="1" s="1"/>
  <c r="L229" i="1"/>
  <c r="O229" i="1" s="1"/>
  <c r="P229" i="1" s="1"/>
  <c r="L227" i="1"/>
  <c r="O227" i="1" s="1"/>
  <c r="P227" i="1" s="1"/>
  <c r="L225" i="1"/>
  <c r="O225" i="1" s="1"/>
  <c r="P225" i="1" s="1"/>
  <c r="L223" i="1"/>
  <c r="O223" i="1" s="1"/>
  <c r="P223" i="1" s="1"/>
  <c r="L221" i="1"/>
  <c r="O221" i="1" s="1"/>
  <c r="P221" i="1" s="1"/>
  <c r="L219" i="1"/>
  <c r="O219" i="1" s="1"/>
  <c r="P219" i="1" s="1"/>
  <c r="L215" i="1"/>
  <c r="O215" i="1" s="1"/>
  <c r="P215" i="1" s="1"/>
  <c r="L213" i="1"/>
  <c r="O213" i="1" s="1"/>
  <c r="L162" i="1"/>
  <c r="O162" i="1" s="1"/>
  <c r="P162" i="1" s="1"/>
  <c r="L161" i="1"/>
  <c r="O161" i="1" s="1"/>
  <c r="P161" i="1" s="1"/>
  <c r="L74" i="1"/>
  <c r="O74" i="1" s="1"/>
  <c r="P74" i="1" s="1"/>
  <c r="L139" i="1"/>
  <c r="O139" i="1" s="1"/>
  <c r="P139" i="1" s="1"/>
  <c r="L172" i="1"/>
  <c r="O172" i="1" s="1"/>
  <c r="L157" i="1"/>
  <c r="O157" i="1" s="1"/>
  <c r="P157" i="1" s="1"/>
  <c r="L156" i="1"/>
  <c r="O156" i="1" s="1"/>
  <c r="P156" i="1" s="1"/>
  <c r="L173" i="1"/>
  <c r="O173" i="1" s="1"/>
  <c r="P173" i="1" s="1"/>
  <c r="L155" i="1"/>
  <c r="O155" i="1" s="1"/>
  <c r="P155" i="1" s="1"/>
  <c r="L142" i="1"/>
  <c r="O142" i="1" s="1"/>
  <c r="P142" i="1" s="1"/>
  <c r="L145" i="1"/>
  <c r="O145" i="1" s="1"/>
  <c r="P145" i="1" s="1"/>
  <c r="L149" i="1"/>
  <c r="O149" i="1" s="1"/>
  <c r="P149" i="1" s="1"/>
  <c r="L146" i="1"/>
  <c r="O146" i="1" s="1"/>
  <c r="P146" i="1" s="1"/>
  <c r="L148" i="1"/>
  <c r="O148" i="1" s="1"/>
  <c r="P148" i="1" s="1"/>
  <c r="L147" i="1"/>
  <c r="O147" i="1" s="1"/>
  <c r="P147" i="1" s="1"/>
  <c r="L144" i="1"/>
  <c r="O144" i="1" s="1"/>
  <c r="P144" i="1" s="1"/>
  <c r="L143" i="1"/>
  <c r="O143" i="1" s="1"/>
  <c r="P143" i="1" s="1"/>
  <c r="L153" i="1"/>
  <c r="O153" i="1" s="1"/>
  <c r="P153" i="1" s="1"/>
  <c r="L130" i="1"/>
  <c r="O130" i="1" s="1"/>
  <c r="P130" i="1" s="1"/>
  <c r="L133" i="1"/>
  <c r="O133" i="1" s="1"/>
  <c r="P133" i="1" s="1"/>
  <c r="L135" i="1"/>
  <c r="O135" i="1" s="1"/>
  <c r="P135" i="1" s="1"/>
  <c r="L137" i="1"/>
  <c r="O137" i="1" s="1"/>
  <c r="P137" i="1" s="1"/>
  <c r="L129" i="1"/>
  <c r="O129" i="1" s="1"/>
  <c r="P129" i="1" s="1"/>
  <c r="L132" i="1"/>
  <c r="O132" i="1" s="1"/>
  <c r="P132" i="1" s="1"/>
  <c r="L134" i="1"/>
  <c r="O134" i="1" s="1"/>
  <c r="P134" i="1" s="1"/>
  <c r="L128" i="1"/>
  <c r="O128" i="1" s="1"/>
  <c r="P128" i="1" s="1"/>
  <c r="L131" i="1"/>
  <c r="O131" i="1" s="1"/>
  <c r="P131" i="1" s="1"/>
  <c r="L140" i="1"/>
  <c r="O140" i="1" s="1"/>
  <c r="P140" i="1" s="1"/>
  <c r="L136" i="1"/>
  <c r="O136" i="1" s="1"/>
  <c r="P136" i="1" s="1"/>
  <c r="L138" i="1"/>
  <c r="O138" i="1" s="1"/>
  <c r="P138" i="1" s="1"/>
  <c r="L125" i="1"/>
  <c r="O125" i="1" s="1"/>
  <c r="P125" i="1" s="1"/>
  <c r="L126" i="1"/>
  <c r="O126" i="1" s="1"/>
  <c r="P126" i="1" s="1"/>
  <c r="L79" i="1"/>
  <c r="O79" i="1" s="1"/>
  <c r="L98" i="1"/>
  <c r="O98" i="1" s="1"/>
  <c r="P98" i="1" s="1"/>
  <c r="L99" i="1"/>
  <c r="O99" i="1" s="1"/>
  <c r="P99" i="1" s="1"/>
  <c r="L102" i="1"/>
  <c r="O102" i="1" s="1"/>
  <c r="P102" i="1" s="1"/>
  <c r="L111" i="1"/>
  <c r="O111" i="1" s="1"/>
  <c r="P111" i="1" s="1"/>
  <c r="L119" i="1"/>
  <c r="O119" i="1" s="1"/>
  <c r="P119" i="1" s="1"/>
  <c r="L121" i="1"/>
  <c r="O121" i="1" s="1"/>
  <c r="P121" i="1" s="1"/>
  <c r="L152" i="1"/>
  <c r="O152" i="1" s="1"/>
  <c r="P152" i="1" s="1"/>
  <c r="L122" i="1"/>
  <c r="O122" i="1" s="1"/>
  <c r="P122" i="1" s="1"/>
  <c r="L97" i="1"/>
  <c r="O97" i="1" s="1"/>
  <c r="P97" i="1" s="1"/>
  <c r="L101" i="1"/>
  <c r="O101" i="1" s="1"/>
  <c r="P101" i="1" s="1"/>
  <c r="L104" i="1"/>
  <c r="O104" i="1" s="1"/>
  <c r="P104" i="1" s="1"/>
  <c r="L107" i="1"/>
  <c r="O107" i="1" s="1"/>
  <c r="P107" i="1" s="1"/>
  <c r="L105" i="1"/>
  <c r="O105" i="1" s="1"/>
  <c r="P105" i="1" s="1"/>
  <c r="L108" i="1"/>
  <c r="O108" i="1" s="1"/>
  <c r="P108" i="1" s="1"/>
  <c r="L118" i="1"/>
  <c r="O118" i="1" s="1"/>
  <c r="P118" i="1" s="1"/>
  <c r="L120" i="1"/>
  <c r="O120" i="1" s="1"/>
  <c r="P120" i="1" s="1"/>
  <c r="L106" i="1"/>
  <c r="O106" i="1" s="1"/>
  <c r="P106" i="1" s="1"/>
  <c r="L100" i="1"/>
  <c r="O100" i="1" s="1"/>
  <c r="P100" i="1" s="1"/>
  <c r="L103" i="1"/>
  <c r="O103" i="1" s="1"/>
  <c r="P103" i="1" s="1"/>
  <c r="L110" i="1"/>
  <c r="O110" i="1" s="1"/>
  <c r="P110" i="1" s="1"/>
  <c r="L113" i="1"/>
  <c r="O113" i="1" s="1"/>
  <c r="P113" i="1" s="1"/>
  <c r="L115" i="1"/>
  <c r="O115" i="1" s="1"/>
  <c r="P115" i="1" s="1"/>
  <c r="L117" i="1"/>
  <c r="O117" i="1" s="1"/>
  <c r="P117" i="1" s="1"/>
  <c r="L123" i="1"/>
  <c r="O123" i="1" s="1"/>
  <c r="P123" i="1" s="1"/>
  <c r="L96" i="1"/>
  <c r="O96" i="1" s="1"/>
  <c r="P96" i="1" s="1"/>
  <c r="L112" i="1"/>
  <c r="O112" i="1" s="1"/>
  <c r="P112" i="1" s="1"/>
  <c r="L114" i="1"/>
  <c r="O114" i="1" s="1"/>
  <c r="P114" i="1" s="1"/>
  <c r="L151" i="1"/>
  <c r="O151" i="1" s="1"/>
  <c r="P151" i="1" s="1"/>
  <c r="L116" i="1"/>
  <c r="O116" i="1" s="1"/>
  <c r="P116" i="1" s="1"/>
  <c r="L63" i="1"/>
  <c r="O63" i="1" s="1"/>
  <c r="P63" i="1" s="1"/>
  <c r="L94" i="1"/>
  <c r="O94" i="1" s="1"/>
  <c r="P94" i="1" s="1"/>
  <c r="L89" i="1"/>
  <c r="O89" i="1" s="1"/>
  <c r="P89" i="1" s="1"/>
  <c r="L92" i="1"/>
  <c r="O92" i="1" s="1"/>
  <c r="P92" i="1" s="1"/>
  <c r="L93" i="1"/>
  <c r="O93" i="1" s="1"/>
  <c r="P93" i="1" s="1"/>
  <c r="L88" i="1"/>
  <c r="O88" i="1" s="1"/>
  <c r="L91" i="1"/>
  <c r="O91" i="1" s="1"/>
  <c r="P91" i="1" s="1"/>
  <c r="L90" i="1"/>
  <c r="O90" i="1" s="1"/>
  <c r="P90" i="1" s="1"/>
  <c r="L972" i="1"/>
  <c r="O972" i="1" s="1"/>
  <c r="P972" i="1" s="1"/>
  <c r="L971" i="1"/>
  <c r="O971" i="1" s="1"/>
  <c r="P971" i="1" s="1"/>
  <c r="L55" i="1"/>
  <c r="O55" i="1" s="1"/>
  <c r="P55" i="1" s="1"/>
  <c r="L54" i="1"/>
  <c r="O54" i="1" s="1"/>
  <c r="P54" i="1" s="1"/>
  <c r="L53" i="1"/>
  <c r="O53" i="1" s="1"/>
  <c r="P53" i="1" s="1"/>
  <c r="L52" i="1"/>
  <c r="O52" i="1" s="1"/>
  <c r="P52" i="1" s="1"/>
  <c r="L51" i="1"/>
  <c r="O51" i="1" s="1"/>
  <c r="P51" i="1" s="1"/>
  <c r="L49" i="1"/>
  <c r="O49" i="1" s="1"/>
  <c r="P49" i="1" s="1"/>
  <c r="L62" i="1"/>
  <c r="O62" i="1" s="1"/>
  <c r="P62" i="1" s="1"/>
  <c r="L64" i="1"/>
  <c r="O64" i="1" s="1"/>
  <c r="P64" i="1" s="1"/>
  <c r="L61" i="1"/>
  <c r="O61" i="1" s="1"/>
  <c r="P61" i="1" s="1"/>
  <c r="L48" i="1"/>
  <c r="O48" i="1" s="1"/>
  <c r="P48" i="1" s="1"/>
  <c r="L50" i="1"/>
  <c r="O50" i="1" s="1"/>
  <c r="P50" i="1" s="1"/>
  <c r="L57" i="1"/>
  <c r="O57" i="1" s="1"/>
  <c r="P57" i="1" s="1"/>
  <c r="L56" i="1"/>
  <c r="O56" i="1" s="1"/>
  <c r="P56" i="1" s="1"/>
  <c r="L58" i="1"/>
  <c r="O58" i="1" s="1"/>
  <c r="P58" i="1" s="1"/>
  <c r="L60" i="1"/>
  <c r="O60" i="1" s="1"/>
  <c r="P60" i="1" s="1"/>
  <c r="L59" i="1"/>
  <c r="O59" i="1" s="1"/>
  <c r="P59" i="1" s="1"/>
  <c r="L47" i="1"/>
  <c r="O47" i="1" s="1"/>
  <c r="P47" i="1" s="1"/>
  <c r="L71" i="1"/>
  <c r="O71" i="1" s="1"/>
  <c r="P71" i="1" s="1"/>
  <c r="L37" i="1"/>
  <c r="O37" i="1" s="1"/>
  <c r="P37" i="1" s="1"/>
  <c r="L68" i="1"/>
  <c r="O68" i="1" s="1"/>
  <c r="P68" i="1" s="1"/>
  <c r="L69" i="1"/>
  <c r="O69" i="1" s="1"/>
  <c r="P69" i="1" s="1"/>
  <c r="L67" i="1"/>
  <c r="O67" i="1" s="1"/>
  <c r="P67" i="1" s="1"/>
  <c r="L73" i="1"/>
  <c r="O73" i="1" s="1"/>
  <c r="P73" i="1" s="1"/>
  <c r="L33" i="1"/>
  <c r="O33" i="1" s="1"/>
  <c r="P33" i="1" s="1"/>
  <c r="L34" i="1"/>
  <c r="O34" i="1" s="1"/>
  <c r="P34" i="1" s="1"/>
  <c r="L35" i="1"/>
  <c r="O35" i="1" s="1"/>
  <c r="P35" i="1" s="1"/>
  <c r="L36" i="1"/>
  <c r="O36" i="1" s="1"/>
  <c r="P36" i="1" s="1"/>
  <c r="L38" i="1"/>
  <c r="O38" i="1" s="1"/>
  <c r="P38" i="1" s="1"/>
  <c r="L39" i="1"/>
  <c r="O39" i="1" s="1"/>
  <c r="P39" i="1" s="1"/>
  <c r="L40" i="1"/>
  <c r="O40" i="1" s="1"/>
  <c r="P40" i="1" s="1"/>
  <c r="L41" i="1"/>
  <c r="O41" i="1" s="1"/>
  <c r="P41" i="1" s="1"/>
  <c r="L66" i="1"/>
  <c r="O66" i="1" s="1"/>
  <c r="P66" i="1" s="1"/>
  <c r="L42" i="1"/>
  <c r="O42" i="1" s="1"/>
  <c r="P42" i="1" s="1"/>
  <c r="L43" i="1"/>
  <c r="O43" i="1" s="1"/>
  <c r="P43" i="1" s="1"/>
  <c r="L70" i="1"/>
  <c r="O70" i="1" s="1"/>
  <c r="P70" i="1" s="1"/>
  <c r="L44" i="1"/>
  <c r="O44" i="1" s="1"/>
  <c r="P44" i="1" s="1"/>
  <c r="L72" i="1"/>
  <c r="O72" i="1" s="1"/>
  <c r="P72" i="1" s="1"/>
  <c r="L45" i="1"/>
  <c r="O45" i="1" s="1"/>
  <c r="P45" i="1" s="1"/>
  <c r="L32" i="1"/>
  <c r="O32" i="1" s="1"/>
  <c r="P32" i="1" s="1"/>
  <c r="L988" i="1"/>
  <c r="O988" i="1" s="1"/>
  <c r="P988" i="1" s="1"/>
  <c r="L1039" i="1"/>
  <c r="O1039" i="1" s="1"/>
  <c r="P1039" i="1" s="1"/>
  <c r="L1038" i="1"/>
  <c r="O1038" i="1" s="1"/>
  <c r="P1038" i="1" s="1"/>
  <c r="L1034" i="1"/>
  <c r="O1034" i="1" s="1"/>
  <c r="P1034" i="1" s="1"/>
  <c r="L1035" i="1"/>
  <c r="O1035" i="1" s="1"/>
  <c r="P1035" i="1" s="1"/>
  <c r="L1036" i="1"/>
  <c r="O1036" i="1" s="1"/>
  <c r="P1036" i="1" s="1"/>
  <c r="L1030" i="1"/>
  <c r="O1030" i="1" s="1"/>
  <c r="P1030" i="1" s="1"/>
  <c r="L1029" i="1"/>
  <c r="O1029" i="1" s="1"/>
  <c r="P1029" i="1" s="1"/>
  <c r="L1033" i="1"/>
  <c r="O1033" i="1" s="1"/>
  <c r="P1033" i="1" s="1"/>
  <c r="L1027" i="1"/>
  <c r="O1027" i="1" s="1"/>
  <c r="P1027" i="1" s="1"/>
  <c r="L1025" i="1"/>
  <c r="O1025" i="1" s="1"/>
  <c r="P1025" i="1" s="1"/>
  <c r="L1024" i="1"/>
  <c r="O1024" i="1" s="1"/>
  <c r="P1024" i="1" s="1"/>
  <c r="L1032" i="1"/>
  <c r="O1032" i="1" s="1"/>
  <c r="P1032" i="1" s="1"/>
  <c r="L1054" i="1"/>
  <c r="O1054" i="1" s="1"/>
  <c r="P1054" i="1" s="1"/>
  <c r="L1050" i="1"/>
  <c r="O1050" i="1" s="1"/>
  <c r="P1050" i="1" s="1"/>
  <c r="L1052" i="1"/>
  <c r="O1052" i="1" s="1"/>
  <c r="P1052" i="1" s="1"/>
  <c r="L1064" i="1"/>
  <c r="O1064" i="1" s="1"/>
  <c r="P1064" i="1" s="1"/>
  <c r="L1051" i="1"/>
  <c r="O1051" i="1" s="1"/>
  <c r="P1051" i="1" s="1"/>
  <c r="L1059" i="1"/>
  <c r="O1059" i="1" s="1"/>
  <c r="P1059" i="1" s="1"/>
  <c r="L1057" i="1"/>
  <c r="O1057" i="1" s="1"/>
  <c r="P1057" i="1" s="1"/>
  <c r="L1049" i="1"/>
  <c r="O1049" i="1" s="1"/>
  <c r="P1049" i="1" s="1"/>
  <c r="L1061" i="1"/>
  <c r="O1061" i="1" s="1"/>
  <c r="P1061" i="1" s="1"/>
  <c r="L1063" i="1"/>
  <c r="O1063" i="1" s="1"/>
  <c r="P1063" i="1" s="1"/>
  <c r="L1055" i="1"/>
  <c r="O1055" i="1" s="1"/>
  <c r="P1055" i="1" s="1"/>
  <c r="L1056" i="1"/>
  <c r="O1056" i="1" s="1"/>
  <c r="P1056" i="1" s="1"/>
  <c r="L1058" i="1"/>
  <c r="O1058" i="1" s="1"/>
  <c r="P1058" i="1" s="1"/>
  <c r="L1060" i="1"/>
  <c r="O1060" i="1" s="1"/>
  <c r="P1060" i="1" s="1"/>
  <c r="L1062" i="1"/>
  <c r="O1062" i="1" s="1"/>
  <c r="P1062" i="1" s="1"/>
  <c r="L1053" i="1"/>
  <c r="O1053" i="1" s="1"/>
  <c r="P1053" i="1" s="1"/>
  <c r="L1041" i="1"/>
  <c r="O1041" i="1" s="1"/>
  <c r="P1041" i="1" s="1"/>
  <c r="L1047" i="1"/>
  <c r="O1047" i="1" s="1"/>
  <c r="P1047" i="1" s="1"/>
  <c r="L1044" i="1"/>
  <c r="O1044" i="1" s="1"/>
  <c r="P1044" i="1" s="1"/>
  <c r="L1046" i="1"/>
  <c r="O1046" i="1" s="1"/>
  <c r="P1046" i="1" s="1"/>
  <c r="L975" i="1"/>
  <c r="O975" i="1" s="1"/>
  <c r="P975" i="1" s="1"/>
  <c r="L976" i="1"/>
  <c r="O976" i="1" s="1"/>
  <c r="P976" i="1" s="1"/>
  <c r="L1079" i="1"/>
  <c r="O1079" i="1" s="1"/>
  <c r="P1079" i="1" s="1"/>
  <c r="L1076" i="1"/>
  <c r="O1076" i="1" s="1"/>
  <c r="P1076" i="1" s="1"/>
  <c r="L1081" i="1"/>
  <c r="O1081" i="1" s="1"/>
  <c r="P1081" i="1" s="1"/>
  <c r="L1075" i="1"/>
  <c r="O1075" i="1" s="1"/>
  <c r="P1075" i="1" s="1"/>
  <c r="L1084" i="1"/>
  <c r="O1084" i="1" s="1"/>
  <c r="P1084" i="1" s="1"/>
  <c r="L1086" i="1"/>
  <c r="O1086" i="1" s="1"/>
  <c r="P1086" i="1" s="1"/>
  <c r="L1083" i="1"/>
  <c r="O1083" i="1" s="1"/>
  <c r="P1083" i="1" s="1"/>
  <c r="L1080" i="1"/>
  <c r="O1080" i="1" s="1"/>
  <c r="P1080" i="1" s="1"/>
  <c r="L1078" i="1"/>
  <c r="O1078" i="1" s="1"/>
  <c r="P1078" i="1" s="1"/>
  <c r="L1085" i="1"/>
  <c r="O1085" i="1" s="1"/>
  <c r="P1085" i="1" s="1"/>
  <c r="L1077" i="1"/>
  <c r="O1077" i="1" s="1"/>
  <c r="P1077" i="1" s="1"/>
  <c r="L1082" i="1"/>
  <c r="O1082" i="1" s="1"/>
  <c r="P1082" i="1" s="1"/>
  <c r="L974" i="1"/>
  <c r="O974" i="1" s="1"/>
  <c r="P974" i="1" s="1"/>
  <c r="L1092" i="1"/>
  <c r="O1092" i="1" s="1"/>
  <c r="P1092" i="1" s="1"/>
  <c r="L1090" i="1"/>
  <c r="O1090" i="1" s="1"/>
  <c r="P1090" i="1" s="1"/>
  <c r="L1091" i="1"/>
  <c r="O1091" i="1" s="1"/>
  <c r="P1091" i="1" s="1"/>
  <c r="L1094" i="1"/>
  <c r="O1094" i="1" s="1"/>
  <c r="P1094" i="1" s="1"/>
  <c r="L973" i="1"/>
  <c r="O973" i="1" s="1"/>
  <c r="P973" i="1" s="1"/>
  <c r="L1093" i="1"/>
  <c r="O1093" i="1" s="1"/>
  <c r="P1093" i="1" s="1"/>
  <c r="L977" i="1"/>
  <c r="O977" i="1" s="1"/>
  <c r="P977" i="1" s="1"/>
  <c r="L978" i="1"/>
  <c r="O978" i="1" s="1"/>
  <c r="P978" i="1" s="1"/>
  <c r="L979" i="1"/>
  <c r="O979" i="1" s="1"/>
  <c r="P979" i="1" s="1"/>
  <c r="L1097" i="1"/>
  <c r="O1097" i="1" s="1"/>
  <c r="P1097" i="1" s="1"/>
  <c r="L1104" i="1"/>
  <c r="O1104" i="1" s="1"/>
  <c r="P1104" i="1" s="1"/>
  <c r="L1106" i="1"/>
  <c r="O1106" i="1" s="1"/>
  <c r="P1106" i="1" s="1"/>
  <c r="L1108" i="1"/>
  <c r="O1108" i="1" s="1"/>
  <c r="P1108" i="1" s="1"/>
  <c r="L1112" i="1"/>
  <c r="O1112" i="1" s="1"/>
  <c r="P1112" i="1" s="1"/>
  <c r="L1101" i="1"/>
  <c r="O1101" i="1" s="1"/>
  <c r="P1101" i="1" s="1"/>
  <c r="L1102" i="1"/>
  <c r="O1102" i="1" s="1"/>
  <c r="P1102" i="1" s="1"/>
  <c r="L1105" i="1"/>
  <c r="O1105" i="1" s="1"/>
  <c r="P1105" i="1" s="1"/>
  <c r="L1111" i="1"/>
  <c r="O1111" i="1" s="1"/>
  <c r="P1111" i="1" s="1"/>
  <c r="L1100" i="1"/>
  <c r="O1100" i="1" s="1"/>
  <c r="P1100" i="1" s="1"/>
  <c r="L1103" i="1"/>
  <c r="O1103" i="1" s="1"/>
  <c r="P1103" i="1" s="1"/>
  <c r="L1110" i="1"/>
  <c r="O1110" i="1" s="1"/>
  <c r="P1110" i="1" s="1"/>
  <c r="L1098" i="1"/>
  <c r="O1098" i="1" s="1"/>
  <c r="P1098" i="1" s="1"/>
  <c r="L1099" i="1"/>
  <c r="O1099" i="1" s="1"/>
  <c r="P1099" i="1" s="1"/>
  <c r="L1107" i="1"/>
  <c r="O1107" i="1" s="1"/>
  <c r="P1107" i="1" s="1"/>
  <c r="L1109" i="1"/>
  <c r="O1109" i="1" s="1"/>
  <c r="P1109" i="1" s="1"/>
  <c r="L1096" i="1"/>
  <c r="O1096" i="1" s="1"/>
  <c r="P1096" i="1" s="1"/>
  <c r="L1011" i="1"/>
  <c r="O1011" i="1" s="1"/>
  <c r="P1011" i="1" s="1"/>
  <c r="L1014" i="1"/>
  <c r="O1014" i="1" s="1"/>
  <c r="P1014" i="1" s="1"/>
  <c r="L1013" i="1"/>
  <c r="O1013" i="1" s="1"/>
  <c r="P1013" i="1" s="1"/>
  <c r="L1010" i="1"/>
  <c r="O1010" i="1" s="1"/>
  <c r="P1010" i="1" s="1"/>
  <c r="L1003" i="1"/>
  <c r="O1003" i="1" s="1"/>
  <c r="P1003" i="1" s="1"/>
  <c r="L1004" i="1"/>
  <c r="O1004" i="1" s="1"/>
  <c r="P1004" i="1" s="1"/>
  <c r="L1005" i="1"/>
  <c r="O1005" i="1" s="1"/>
  <c r="P1005" i="1" s="1"/>
  <c r="L998" i="1"/>
  <c r="O998" i="1" s="1"/>
  <c r="P998" i="1" s="1"/>
  <c r="L997" i="1"/>
  <c r="O997" i="1" s="1"/>
  <c r="P997" i="1" s="1"/>
  <c r="L995" i="1"/>
  <c r="O995" i="1" s="1"/>
  <c r="P995" i="1" s="1"/>
  <c r="L1021" i="1"/>
  <c r="O1021" i="1" s="1"/>
  <c r="P1021" i="1" s="1"/>
  <c r="L1009" i="1"/>
  <c r="O1009" i="1" s="1"/>
  <c r="P1009" i="1" s="1"/>
  <c r="L1012" i="1"/>
  <c r="O1012" i="1" s="1"/>
  <c r="P1012" i="1" s="1"/>
  <c r="L1002" i="1"/>
  <c r="O1002" i="1" s="1"/>
  <c r="P1002" i="1" s="1"/>
  <c r="L1020" i="1"/>
  <c r="O1020" i="1" s="1"/>
  <c r="P1020" i="1" s="1"/>
  <c r="L1019" i="1"/>
  <c r="O1019" i="1" s="1"/>
  <c r="P1019" i="1" s="1"/>
  <c r="L993" i="1"/>
  <c r="O993" i="1" s="1"/>
  <c r="P993" i="1" s="1"/>
  <c r="L1068" i="1"/>
  <c r="O1068" i="1" s="1"/>
  <c r="P1068" i="1" s="1"/>
  <c r="L983" i="1"/>
  <c r="O983" i="1" s="1"/>
  <c r="P983" i="1" s="1"/>
  <c r="L984" i="1"/>
  <c r="O984" i="1" s="1"/>
  <c r="P984" i="1" s="1"/>
  <c r="L985" i="1"/>
  <c r="O985" i="1" s="1"/>
  <c r="P985" i="1" s="1"/>
  <c r="L1043" i="1"/>
  <c r="O1043" i="1" s="1"/>
  <c r="P1043" i="1" s="1"/>
  <c r="L986" i="1"/>
  <c r="O986" i="1" s="1"/>
  <c r="P986" i="1" s="1"/>
  <c r="L1018" i="1"/>
  <c r="O1018" i="1" s="1"/>
  <c r="P1018" i="1" s="1"/>
  <c r="L1069" i="1"/>
  <c r="O1069" i="1" s="1"/>
  <c r="P1069" i="1" s="1"/>
  <c r="L1007" i="1"/>
  <c r="O1007" i="1" s="1"/>
  <c r="P1007" i="1" s="1"/>
  <c r="L1017" i="1"/>
  <c r="O1017" i="1" s="1"/>
  <c r="P1017" i="1" s="1"/>
  <c r="L1070" i="1"/>
  <c r="O1070" i="1" s="1"/>
  <c r="P1070" i="1" s="1"/>
  <c r="L1001" i="1"/>
  <c r="O1001" i="1" s="1"/>
  <c r="P1001" i="1" s="1"/>
  <c r="L1088" i="1"/>
  <c r="O1088" i="1" s="1"/>
  <c r="L1016" i="1"/>
  <c r="O1016" i="1" s="1"/>
  <c r="P1016" i="1" s="1"/>
  <c r="L1000" i="1"/>
  <c r="O1000" i="1" s="1"/>
  <c r="L20" i="1"/>
  <c r="O20" i="1" s="1"/>
  <c r="P20" i="1" s="1"/>
  <c r="L27" i="1"/>
  <c r="O27" i="1" s="1"/>
  <c r="P27" i="1" s="1"/>
  <c r="L23" i="1"/>
  <c r="O23" i="1" s="1"/>
  <c r="P23" i="1" s="1"/>
  <c r="L19" i="1"/>
  <c r="O19" i="1" s="1"/>
  <c r="P19" i="1" s="1"/>
  <c r="L17" i="1"/>
  <c r="O17" i="1" s="1"/>
  <c r="L25" i="1"/>
  <c r="O25" i="1" s="1"/>
  <c r="P25" i="1" s="1"/>
  <c r="L26" i="1"/>
  <c r="O26" i="1" s="1"/>
  <c r="P26" i="1" s="1"/>
  <c r="L18" i="1"/>
  <c r="O18" i="1" s="1"/>
  <c r="P18" i="1" s="1"/>
  <c r="L22" i="1"/>
  <c r="O22" i="1" s="1"/>
  <c r="P22" i="1" s="1"/>
  <c r="L24" i="1"/>
  <c r="O24" i="1" s="1"/>
  <c r="P24" i="1" s="1"/>
  <c r="L21" i="1"/>
  <c r="O21" i="1" s="1"/>
  <c r="P21" i="1" s="1"/>
  <c r="L981" i="1"/>
  <c r="O981" i="1" s="1"/>
  <c r="P981" i="1" s="1"/>
  <c r="L980" i="1"/>
  <c r="O980" i="1" s="1"/>
  <c r="P980" i="1" s="1"/>
  <c r="L969" i="1"/>
  <c r="O969" i="1" s="1"/>
  <c r="P969" i="1" s="1"/>
  <c r="L966" i="1"/>
  <c r="O966" i="1" s="1"/>
  <c r="L65" i="1"/>
  <c r="O65" i="1" s="1"/>
  <c r="P65" i="1" s="1"/>
  <c r="P852" i="1" l="1"/>
  <c r="Q954" i="1" s="1"/>
  <c r="M954" i="1"/>
  <c r="E22" i="2" s="1"/>
  <c r="P640" i="1"/>
  <c r="Q847" i="1" s="1"/>
  <c r="M847" i="1"/>
  <c r="E21" i="2" s="1"/>
  <c r="P588" i="1"/>
  <c r="Q635" i="1" s="1"/>
  <c r="M635" i="1"/>
  <c r="E20" i="2" s="1"/>
  <c r="P580" i="1"/>
  <c r="Q582" i="1" s="1"/>
  <c r="M582" i="1"/>
  <c r="E18" i="2" s="1"/>
  <c r="P571" i="1"/>
  <c r="Q577" i="1" s="1"/>
  <c r="M577" i="1"/>
  <c r="E17" i="2" s="1"/>
  <c r="P532" i="1"/>
  <c r="Q535" i="1" s="1"/>
  <c r="M535" i="1"/>
  <c r="E16" i="2" s="1"/>
  <c r="P511" i="1"/>
  <c r="Q529" i="1" s="1"/>
  <c r="M529" i="1"/>
  <c r="E15" i="2" s="1"/>
  <c r="G15" i="2" s="1"/>
  <c r="H15" i="2" s="1"/>
  <c r="P213" i="1"/>
  <c r="Q257" i="1" s="1"/>
  <c r="M257" i="1"/>
  <c r="E13" i="2" s="1"/>
  <c r="P172" i="1"/>
  <c r="Q210" i="1" s="1"/>
  <c r="M210" i="1"/>
  <c r="E12" i="2" s="1"/>
  <c r="M13" i="1"/>
  <c r="E6" i="2" s="1"/>
  <c r="Q13" i="1"/>
  <c r="P79" i="1"/>
  <c r="Q84" i="1" s="1"/>
  <c r="M84" i="1"/>
  <c r="E10" i="2" s="1"/>
  <c r="P88" i="1"/>
  <c r="Q169" i="1" s="1"/>
  <c r="M169" i="1"/>
  <c r="E11" i="2" s="1"/>
  <c r="G11" i="2" s="1"/>
  <c r="H11" i="2" s="1"/>
  <c r="P1000" i="1"/>
  <c r="Q1072" i="1" s="1"/>
  <c r="M1072" i="1"/>
  <c r="E26" i="2" s="1"/>
  <c r="P1088" i="1"/>
  <c r="P17" i="1"/>
  <c r="Q29" i="1" s="1"/>
  <c r="M29" i="1"/>
  <c r="E8" i="2" s="1"/>
  <c r="P966" i="1"/>
  <c r="Q990" i="1" s="1"/>
  <c r="M990" i="1"/>
  <c r="E25" i="2" s="1"/>
  <c r="Q76" i="1"/>
  <c r="M76" i="1"/>
  <c r="E9" i="2" s="1"/>
  <c r="M508" i="1"/>
  <c r="E14" i="2" s="1"/>
  <c r="Q508" i="1"/>
  <c r="G22" i="2" l="1"/>
  <c r="H22" i="2" s="1"/>
  <c r="G21" i="2"/>
  <c r="H21" i="2" s="1"/>
  <c r="G20" i="2"/>
  <c r="H20" i="2" s="1"/>
  <c r="G18" i="2"/>
  <c r="H18" i="2" s="1"/>
  <c r="G17" i="2"/>
  <c r="H17" i="2" s="1"/>
  <c r="G16" i="2"/>
  <c r="H16" i="2" s="1"/>
  <c r="I15" i="2"/>
  <c r="J15" i="2"/>
  <c r="G13" i="2"/>
  <c r="H13" i="2" s="1"/>
  <c r="G6" i="2"/>
  <c r="H6" i="2" s="1"/>
  <c r="G12" i="2"/>
  <c r="H12" i="2" s="1"/>
  <c r="G10" i="2"/>
  <c r="H10" i="2" s="1"/>
  <c r="I11" i="2"/>
  <c r="J11" i="2"/>
  <c r="G26" i="2"/>
  <c r="H26" i="2" s="1"/>
  <c r="G8" i="2"/>
  <c r="H8" i="2" s="1"/>
  <c r="G25" i="2"/>
  <c r="H25" i="2" s="1"/>
  <c r="G14" i="2"/>
  <c r="H14" i="2" s="1"/>
  <c r="G9" i="2"/>
  <c r="H9" i="2" s="1"/>
  <c r="J22" i="2" l="1"/>
  <c r="I22" i="2"/>
  <c r="J21" i="2"/>
  <c r="I21" i="2"/>
  <c r="J20" i="2"/>
  <c r="I20" i="2"/>
  <c r="L15" i="2"/>
  <c r="M15" i="2" s="1"/>
  <c r="J18" i="2"/>
  <c r="I18" i="2"/>
  <c r="I17" i="2"/>
  <c r="J17" i="2"/>
  <c r="J16" i="2"/>
  <c r="I16" i="2"/>
  <c r="J13" i="2"/>
  <c r="I13" i="2"/>
  <c r="I12" i="2"/>
  <c r="J12" i="2"/>
  <c r="J6" i="2"/>
  <c r="I6" i="2"/>
  <c r="J10" i="2"/>
  <c r="I10" i="2"/>
  <c r="L11" i="2"/>
  <c r="M11" i="2" s="1"/>
  <c r="I26" i="2"/>
  <c r="J26" i="2"/>
  <c r="J8" i="2"/>
  <c r="I8" i="2"/>
  <c r="I25" i="2"/>
  <c r="J25" i="2"/>
  <c r="J9" i="2"/>
  <c r="I9" i="2"/>
  <c r="I14" i="2"/>
  <c r="J14" i="2"/>
  <c r="L20" i="2" l="1"/>
  <c r="M20" i="2" s="1"/>
  <c r="L22" i="2"/>
  <c r="M22" i="2" s="1"/>
  <c r="L21" i="2"/>
  <c r="M21" i="2" s="1"/>
  <c r="L18" i="2"/>
  <c r="M18" i="2" s="1"/>
  <c r="L17" i="2"/>
  <c r="M17" i="2" s="1"/>
  <c r="L16" i="2"/>
  <c r="M16" i="2" s="1"/>
  <c r="L12" i="2"/>
  <c r="M12" i="2" s="1"/>
  <c r="L13" i="2"/>
  <c r="M13" i="2" s="1"/>
  <c r="L10" i="2"/>
  <c r="M10" i="2" s="1"/>
  <c r="L8" i="2"/>
  <c r="M8" i="2" s="1"/>
  <c r="L26" i="2"/>
  <c r="M26" i="2" s="1"/>
  <c r="L25" i="2"/>
  <c r="M25" i="2" s="1"/>
  <c r="L9" i="2"/>
  <c r="M9" i="2" s="1"/>
  <c r="L14" i="2"/>
  <c r="M14" i="2" s="1"/>
  <c r="Q1118" i="1" l="1"/>
  <c r="J1114" i="1"/>
  <c r="D27" i="2" s="1"/>
  <c r="J1116" i="1"/>
  <c r="F27" i="2" l="1"/>
  <c r="F29" i="2" s="1"/>
  <c r="D29" i="2"/>
  <c r="E33" i="2" s="1"/>
  <c r="P1116" i="1"/>
  <c r="P1114" i="1"/>
  <c r="Q1120" i="1"/>
  <c r="L33" i="2" l="1"/>
  <c r="L34" i="2" s="1"/>
  <c r="E34" i="2"/>
  <c r="M1114" i="1"/>
  <c r="E27" i="2" s="1"/>
  <c r="Q1119" i="1"/>
  <c r="O1" i="1" s="1"/>
  <c r="M1116" i="1"/>
  <c r="Q1114" i="1"/>
  <c r="Q1116" i="1" s="1"/>
  <c r="O2" i="1" l="1"/>
  <c r="O3" i="1"/>
  <c r="E29" i="2"/>
  <c r="E36" i="2" s="1"/>
  <c r="G27" i="2"/>
  <c r="G29" i="2" s="1"/>
  <c r="H27" i="2" l="1"/>
  <c r="H29" i="2" s="1"/>
  <c r="E37" i="2"/>
  <c r="E38" i="2" s="1"/>
  <c r="J27" i="2" l="1"/>
  <c r="J29" i="2" s="1"/>
  <c r="I27" i="2"/>
  <c r="I29" i="2" s="1"/>
  <c r="E40" i="2"/>
  <c r="E39" i="2"/>
  <c r="E41" i="2" l="1"/>
  <c r="E42" i="2" s="1"/>
  <c r="L27" i="2"/>
  <c r="M27" i="2" s="1"/>
  <c r="E53" i="2" l="1"/>
  <c r="E55" i="2" s="1"/>
  <c r="O4" i="1" l="1"/>
  <c r="O5" i="1" s="1"/>
  <c r="K6" i="2"/>
  <c r="K29" i="2" s="1"/>
  <c r="L6" i="2" l="1"/>
  <c r="L29" i="2" s="1"/>
  <c r="M29" i="2" s="1"/>
  <c r="M6" i="2" l="1"/>
</calcChain>
</file>

<file path=xl/sharedStrings.xml><?xml version="1.0" encoding="utf-8"?>
<sst xmlns="http://schemas.openxmlformats.org/spreadsheetml/2006/main" count="3699" uniqueCount="1244">
  <si>
    <t>SR.
NO.</t>
  </si>
  <si>
    <t>DESCRIPTION</t>
  </si>
  <si>
    <t>QUANTITY</t>
  </si>
  <si>
    <t>UNIT</t>
  </si>
  <si>
    <t>MATERIAL 
COST</t>
  </si>
  <si>
    <t>MANHOURS COST</t>
  </si>
  <si>
    <t>UNIT MANHOURS</t>
  </si>
  <si>
    <t>TOTAL MANHOURS</t>
  </si>
  <si>
    <t>TOTAL
COST</t>
  </si>
  <si>
    <t>UNIT MATERIAL
COST</t>
  </si>
  <si>
    <t>DWG. NO.</t>
  </si>
  <si>
    <t>DETAIL NO.</t>
  </si>
  <si>
    <t>SUBTOTAL MATERIAL</t>
  </si>
  <si>
    <t>SUBTOTAL LABOR</t>
  </si>
  <si>
    <t>COMPOSITE LABOR RATE</t>
  </si>
  <si>
    <t>BID SUMMARY</t>
  </si>
  <si>
    <t>MATERIAL COST</t>
  </si>
  <si>
    <t>LABOR COST</t>
  </si>
  <si>
    <t>MATERIAL TAX</t>
  </si>
  <si>
    <t>LABOR TAX</t>
  </si>
  <si>
    <t>TOTAL COST</t>
  </si>
  <si>
    <t>OVERHEADS</t>
  </si>
  <si>
    <t>TOTAL PRICE</t>
  </si>
  <si>
    <t>TOTALS</t>
  </si>
  <si>
    <t>BID RECAP</t>
  </si>
  <si>
    <t>TOTAL MATERIAL COST</t>
  </si>
  <si>
    <t>TOTAL LABOR COST</t>
  </si>
  <si>
    <t>MATERIAL SALES TAX</t>
  </si>
  <si>
    <t>OVERHEADS @</t>
  </si>
  <si>
    <t>ALLOWANCES</t>
  </si>
  <si>
    <t>SUB-CONTRACTS</t>
  </si>
  <si>
    <t>BOND PREMIUM</t>
  </si>
  <si>
    <t>JOB EXPENSE</t>
  </si>
  <si>
    <t>PROFIT @</t>
  </si>
  <si>
    <t>BASE BID PRICE</t>
  </si>
  <si>
    <t>MAN LOAD</t>
  </si>
  <si>
    <t>MOBILIZATION / DEMOBILIZATION</t>
  </si>
  <si>
    <t>SUPERVISOR RATE</t>
  </si>
  <si>
    <t>UNSKILLED LABOR RATE</t>
  </si>
  <si>
    <t>TOTAL MANHOURS WITH SUPERVISION</t>
  </si>
  <si>
    <t>NUMBER OF MAN-DAYS</t>
  </si>
  <si>
    <t>MAN-LOADING AND SUPERVISION ANALYSIS</t>
  </si>
  <si>
    <t>INSERT VALUES IN YELLOW HIGHLIGHTED CELLS WHERE APPLICABLE</t>
  </si>
  <si>
    <t>SUBTOTAL HOURS</t>
  </si>
  <si>
    <t>CSI NO.</t>
  </si>
  <si>
    <t>09 00 00</t>
  </si>
  <si>
    <t>OPENINGS</t>
  </si>
  <si>
    <t>08 00 00</t>
  </si>
  <si>
    <t>FINISHES</t>
  </si>
  <si>
    <t>JOURNEYMAN RATE</t>
  </si>
  <si>
    <t>Mudding Compound (12 LBS)</t>
  </si>
  <si>
    <t>Screws (244 EA)</t>
  </si>
  <si>
    <t>ROLLS</t>
  </si>
  <si>
    <t>BUCKETS</t>
  </si>
  <si>
    <t>BOXES</t>
  </si>
  <si>
    <t>Taping (180' L)</t>
  </si>
  <si>
    <t>02 00 00</t>
  </si>
  <si>
    <t>03 00 00</t>
  </si>
  <si>
    <t>CONCRETE</t>
  </si>
  <si>
    <t>WOOD, PLASTICS, AND COMPOSITES</t>
  </si>
  <si>
    <t>THERMAL AND MOISTURE PROTECTION</t>
  </si>
  <si>
    <t>10 00 00</t>
  </si>
  <si>
    <t>SPECIALTIES</t>
  </si>
  <si>
    <t>11 00 00</t>
  </si>
  <si>
    <t>EQUIPMENT</t>
  </si>
  <si>
    <t>12 00 00</t>
  </si>
  <si>
    <t>FURNISHINGS</t>
  </si>
  <si>
    <t>31 00 00</t>
  </si>
  <si>
    <t>EARTHWORK</t>
  </si>
  <si>
    <t>SELECTIVE SITE DEMOLITION</t>
  </si>
  <si>
    <t xml:space="preserve">02 41 13 </t>
  </si>
  <si>
    <t>CAST-IN-PLACE CONCRETE</t>
  </si>
  <si>
    <t xml:space="preserve">03 30 00 </t>
  </si>
  <si>
    <t>STRUCTURAL STEEL FRAMING</t>
  </si>
  <si>
    <t xml:space="preserve">05 12 00 </t>
  </si>
  <si>
    <t>METAL RAILINGS</t>
  </si>
  <si>
    <t xml:space="preserve">05 52 00 </t>
  </si>
  <si>
    <t>WOOD FRAMING</t>
  </si>
  <si>
    <t xml:space="preserve">06 11 00 </t>
  </si>
  <si>
    <t>SHEATHING</t>
  </si>
  <si>
    <t xml:space="preserve">06 16 00 </t>
  </si>
  <si>
    <t>FINISH CARPENTRY</t>
  </si>
  <si>
    <t xml:space="preserve">06 20 00 </t>
  </si>
  <si>
    <t>MILLWORK</t>
  </si>
  <si>
    <t xml:space="preserve">06 22 00 </t>
  </si>
  <si>
    <t>THERMAL INSULATION</t>
  </si>
  <si>
    <t xml:space="preserve">07 21 00 </t>
  </si>
  <si>
    <t>EXTERIOR INSULATION AND FINISH SYSTEMS</t>
  </si>
  <si>
    <t xml:space="preserve">07 24 00 </t>
  </si>
  <si>
    <t>WEATHER BARRIERS</t>
  </si>
  <si>
    <t xml:space="preserve">07 25 00 </t>
  </si>
  <si>
    <t>ROOF PANELS</t>
  </si>
  <si>
    <t xml:space="preserve">07 41 00 </t>
  </si>
  <si>
    <t>FACED PANELS</t>
  </si>
  <si>
    <t xml:space="preserve">07 44 00 </t>
  </si>
  <si>
    <t>SIDING</t>
  </si>
  <si>
    <t xml:space="preserve">07 46 00 </t>
  </si>
  <si>
    <t>FLASHING AND SHEET METAL</t>
  </si>
  <si>
    <t xml:space="preserve">07 60 00 </t>
  </si>
  <si>
    <t>ROOF AND WALL SPECIALTIES AND ACCESSORIES</t>
  </si>
  <si>
    <t xml:space="preserve">07 70 00  </t>
  </si>
  <si>
    <t>ALUMINUM DOORS AND FRAMES</t>
  </si>
  <si>
    <t xml:space="preserve">08 11 16 </t>
  </si>
  <si>
    <t>WOOD DOORS</t>
  </si>
  <si>
    <t xml:space="preserve">08 14 00 </t>
  </si>
  <si>
    <t>WOOD WINDOWS</t>
  </si>
  <si>
    <t>DOOR HARDWARE</t>
  </si>
  <si>
    <t xml:space="preserve">08 71 00 </t>
  </si>
  <si>
    <t>GYPSUM BOARD ASSEMBLIES</t>
  </si>
  <si>
    <t xml:space="preserve">09 21 16 </t>
  </si>
  <si>
    <t>CERAMIC TILING</t>
  </si>
  <si>
    <t>RESILIENT TILE FLOORING</t>
  </si>
  <si>
    <t xml:space="preserve">09 65 19 </t>
  </si>
  <si>
    <t>TILE CARPETING</t>
  </si>
  <si>
    <t xml:space="preserve">09 68 13 </t>
  </si>
  <si>
    <t>PAINTING</t>
  </si>
  <si>
    <t xml:space="preserve">09 91 00 </t>
  </si>
  <si>
    <t>SPECIAL COATINGS</t>
  </si>
  <si>
    <t xml:space="preserve">09 97 00 </t>
  </si>
  <si>
    <t>TOILET ACCESSORIES</t>
  </si>
  <si>
    <t xml:space="preserve">10 28 13 </t>
  </si>
  <si>
    <t>FIRE PROTECTION CABINETS</t>
  </si>
  <si>
    <t>STORAGE ASSEMBLIES</t>
  </si>
  <si>
    <t xml:space="preserve">10 56 00 </t>
  </si>
  <si>
    <t>UNIT KITCHENS</t>
  </si>
  <si>
    <t xml:space="preserve">11 32 00 </t>
  </si>
  <si>
    <t>CASEWORK</t>
  </si>
  <si>
    <t xml:space="preserve">12 30 00 </t>
  </si>
  <si>
    <t>COUNTERTOPS</t>
  </si>
  <si>
    <t xml:space="preserve">12 36 00 </t>
  </si>
  <si>
    <t>FURNITURE</t>
  </si>
  <si>
    <t xml:space="preserve">12 50 00 </t>
  </si>
  <si>
    <t xml:space="preserve">12 92 00 </t>
  </si>
  <si>
    <t>SITE FURNISHINGS</t>
  </si>
  <si>
    <t>ELEVATORS</t>
  </si>
  <si>
    <t xml:space="preserve">14 20 00 </t>
  </si>
  <si>
    <t>SITE CLEARING</t>
  </si>
  <si>
    <t xml:space="preserve">31 10 00 </t>
  </si>
  <si>
    <t>EARTH MOVING</t>
  </si>
  <si>
    <t xml:space="preserve">31 20 00 </t>
  </si>
  <si>
    <t>EXCAVATION AND FILL</t>
  </si>
  <si>
    <t xml:space="preserve">31 23 00 </t>
  </si>
  <si>
    <t>EROSION AND SEDIMENTATION CONTROLS</t>
  </si>
  <si>
    <t xml:space="preserve">31 25 00 </t>
  </si>
  <si>
    <t>SHORING AND UNDERPINNING</t>
  </si>
  <si>
    <t xml:space="preserve">31 40 00 </t>
  </si>
  <si>
    <t>BASE COURSES</t>
  </si>
  <si>
    <t xml:space="preserve">32 11 00 </t>
  </si>
  <si>
    <t>FLEXIBLE PAVING</t>
  </si>
  <si>
    <t xml:space="preserve">32 12 00 </t>
  </si>
  <si>
    <t>CURBS AND GUTTERS</t>
  </si>
  <si>
    <t xml:space="preserve">32 16 13 </t>
  </si>
  <si>
    <t>SIDEWALKS</t>
  </si>
  <si>
    <t xml:space="preserve">32 16 23 </t>
  </si>
  <si>
    <t>PAVING SPECIALTIES</t>
  </si>
  <si>
    <t xml:space="preserve">32 17 00 </t>
  </si>
  <si>
    <t>RETAINING WALLS</t>
  </si>
  <si>
    <t xml:space="preserve">32 32 00 </t>
  </si>
  <si>
    <t xml:space="preserve">32 33 00 </t>
  </si>
  <si>
    <t>MANUFACTURED SITE SPECIALTIES</t>
  </si>
  <si>
    <t xml:space="preserve">32 39 00 </t>
  </si>
  <si>
    <t>IRRIGATION</t>
  </si>
  <si>
    <t xml:space="preserve">32 80 00 </t>
  </si>
  <si>
    <t>PLANTING PREPARATION</t>
  </si>
  <si>
    <t xml:space="preserve">32 91 00 </t>
  </si>
  <si>
    <t>TURF AND GRASSES</t>
  </si>
  <si>
    <t xml:space="preserve">32 92 00 </t>
  </si>
  <si>
    <t>PLANTS</t>
  </si>
  <si>
    <t xml:space="preserve">32 93 00 </t>
  </si>
  <si>
    <t>EXTERIOR PLANTING SUPPORT STRUCTURES</t>
  </si>
  <si>
    <t xml:space="preserve">32 95 00 </t>
  </si>
  <si>
    <t>33 00 00</t>
  </si>
  <si>
    <t>WATER UTILITIES</t>
  </si>
  <si>
    <t xml:space="preserve">33 10 00 </t>
  </si>
  <si>
    <t>WELLS</t>
  </si>
  <si>
    <t xml:space="preserve">33 20 00 </t>
  </si>
  <si>
    <t>SANITARY SEWERAGE</t>
  </si>
  <si>
    <t xml:space="preserve">33 30 00 </t>
  </si>
  <si>
    <t>STORMWATER UTILITIES</t>
  </si>
  <si>
    <t xml:space="preserve">33 40 00  </t>
  </si>
  <si>
    <t>Notes:</t>
  </si>
  <si>
    <t>Date:</t>
  </si>
  <si>
    <t>All other prices are excluded that are not included in the estimate above.</t>
  </si>
  <si>
    <t>METALS</t>
  </si>
  <si>
    <t>06 00 00</t>
  </si>
  <si>
    <t>05 00 00</t>
  </si>
  <si>
    <t>07 00 00</t>
  </si>
  <si>
    <t>CONVEYING EQUIPMENT</t>
  </si>
  <si>
    <t>14 00 00</t>
  </si>
  <si>
    <t>32 00 00</t>
  </si>
  <si>
    <t>EXTERIOR IMPROVEMENTS</t>
  </si>
  <si>
    <t>UTILITIES</t>
  </si>
  <si>
    <t>DIVISION</t>
  </si>
  <si>
    <t>BOND &amp; INSURANCE</t>
  </si>
  <si>
    <t>PROJECT SUPERVISION &amp; PROJECT MANAGEMENT</t>
  </si>
  <si>
    <t xml:space="preserve">SUBMITTALS, SAMPLES, SHOP DRAWINGS, SITE SAFETY PLAN, ETC. </t>
  </si>
  <si>
    <t xml:space="preserve">TEMPORARY FACILITIES &amp; CONTROLS </t>
  </si>
  <si>
    <t>PROJECT SCHEDULE (Primavera P3 or P6)</t>
  </si>
  <si>
    <t>OFFICE OVERHEADS</t>
  </si>
  <si>
    <t xml:space="preserve">CLOSEOUT PROCEDURES </t>
  </si>
  <si>
    <t xml:space="preserve">PERMITS </t>
  </si>
  <si>
    <t>QTY W/
WASTAGE</t>
  </si>
  <si>
    <t>MAN HOUR RATE</t>
  </si>
  <si>
    <t>WASTAGE %</t>
  </si>
  <si>
    <t>01 00 00</t>
  </si>
  <si>
    <t>GENERAL REQUIREMENTS</t>
  </si>
  <si>
    <t>21 00 00</t>
  </si>
  <si>
    <t>22 00 00</t>
  </si>
  <si>
    <t>23 00 00</t>
  </si>
  <si>
    <t>26 00 00</t>
  </si>
  <si>
    <t>FIRE SUPPRESSION</t>
  </si>
  <si>
    <t>PLUMBING</t>
  </si>
  <si>
    <t>ELECTRICAL</t>
  </si>
  <si>
    <t>Project GSF:</t>
  </si>
  <si>
    <t>SF</t>
  </si>
  <si>
    <t>EXISTING CONDITIONS/ DEMOLITION</t>
  </si>
  <si>
    <t>COST/ SF</t>
  </si>
  <si>
    <t>ADDITIONAL COST (If Any)</t>
  </si>
  <si>
    <t>TOTAL LABOR HOURS</t>
  </si>
  <si>
    <t>OVERHEAD COST</t>
  </si>
  <si>
    <t>PROFIT COST</t>
  </si>
  <si>
    <t xml:space="preserve">Project Scope: </t>
  </si>
  <si>
    <t>Addendum:</t>
  </si>
  <si>
    <t>N/A</t>
  </si>
  <si>
    <t>PROJECT COST</t>
  </si>
  <si>
    <t>TOTAL MATERIAL</t>
  </si>
  <si>
    <t>TOTAL LABOR</t>
  </si>
  <si>
    <t>TOTAL HOURS</t>
  </si>
  <si>
    <t>LF</t>
  </si>
  <si>
    <t>Sheathing &amp; Shoring</t>
  </si>
  <si>
    <t>Land Clearing &amp; Grubbing</t>
  </si>
  <si>
    <t>Soil to be Exported</t>
  </si>
  <si>
    <t>CY</t>
  </si>
  <si>
    <t>Excavation</t>
  </si>
  <si>
    <t>Backfill</t>
  </si>
  <si>
    <t>TOTAL BID COST</t>
  </si>
  <si>
    <t>Door Trim</t>
  </si>
  <si>
    <t>Window Trim</t>
  </si>
  <si>
    <t>Online sources are used for pricing purpose. Please verify, as per your own convenience.</t>
  </si>
  <si>
    <t>Cells highlighted with green, please price the items as per your own facility.</t>
  </si>
  <si>
    <t>TOTAL COST W/ OVERHEADS + PROFIT</t>
  </si>
  <si>
    <t>HEATING, VENTILATING &amp; AIR- CONDITIOINING</t>
  </si>
  <si>
    <t>Prices can vary, depending upon field conditions.</t>
  </si>
  <si>
    <t>PROFIT</t>
  </si>
  <si>
    <t>Please See Next Tab "ELECTRICAL" for Detailed Breakdown</t>
  </si>
  <si>
    <t>SITE &amp; INFRASTRUCTURE SUBGROUP WORK</t>
  </si>
  <si>
    <t>FACILITY SERVICES SUBGROUP WORK</t>
  </si>
  <si>
    <t>FACILITY CONSTRUCTION SUBGROUP WORK</t>
  </si>
  <si>
    <t>GENERAL REQUIREMENTS SUBGROUP WORK</t>
  </si>
  <si>
    <t>WAGE RATE</t>
  </si>
  <si>
    <t>EA</t>
  </si>
  <si>
    <t>Roofing</t>
  </si>
  <si>
    <t>Exterior</t>
  </si>
  <si>
    <t>JUNE LAKE BUSINESS CENTER</t>
  </si>
  <si>
    <t>GC + MEP</t>
  </si>
  <si>
    <t>2784 HIGHWAY 158, JUNE LAKE, CA 93529</t>
  </si>
  <si>
    <t>-</t>
  </si>
  <si>
    <t>Cut by Grading</t>
  </si>
  <si>
    <t>Fill by Grading</t>
  </si>
  <si>
    <t>Remove Buildings at their Entirety</t>
  </si>
  <si>
    <t>Remove Deck Beside Building</t>
  </si>
  <si>
    <t>Remove AC Pavement at Its Entirety</t>
  </si>
  <si>
    <t>Remove Concrete Pavement</t>
  </si>
  <si>
    <t>Remove 4" Sewer</t>
  </si>
  <si>
    <t>Remove 2" Water Line</t>
  </si>
  <si>
    <t>Remove Propane Tank</t>
  </si>
  <si>
    <t>Remove Fire Hydrant</t>
  </si>
  <si>
    <t>Remove Water Meter</t>
  </si>
  <si>
    <t>Remove Tree</t>
  </si>
  <si>
    <t>Remove Sewer Cleanout</t>
  </si>
  <si>
    <t>Construction Entrance Per CASQA Standard TC-1</t>
  </si>
  <si>
    <t>Silt Fence Per CASQA Standard SE-1</t>
  </si>
  <si>
    <t>Fiber Rolls Per CASQA Standard SE-1</t>
  </si>
  <si>
    <t>Gravel Bags Per CASQA Standard SE-6</t>
  </si>
  <si>
    <t>C-2</t>
  </si>
  <si>
    <t>4" Thick Sidewalk w/ #3 Bars @ 24" o.c.  EW and Expansion Joints @ 5' O.c. w/ Exposed 1-2"-1" Aggregate with Formed Lines_x000D_
- Over Compacted Subgrade</t>
  </si>
  <si>
    <t>Detectable Surface</t>
  </si>
  <si>
    <t>1'-4" x 1'-0" Concrete Footing for Planter Wall</t>
  </si>
  <si>
    <t>4" Dia Drain Pipe with 12"x12" Gravel, Wrapped in Filter Fabric</t>
  </si>
  <si>
    <t>Granite Boulders for Planters, Size from 16" min up to ±4'. Install so That Project Out of Ground/Concrete and Not Look Like They Sit on Top of The Finish Surface - (±926 SF)</t>
  </si>
  <si>
    <t>Planting Area</t>
  </si>
  <si>
    <t>4"x12" Thickened Edge for Ramp (±93 LF)</t>
  </si>
  <si>
    <t>Parking Stripping</t>
  </si>
  <si>
    <t>Pavement Marking Strips</t>
  </si>
  <si>
    <t>4'x22' Underground Septic Tank</t>
  </si>
  <si>
    <t>Wood Bench, Formed with OSB Size: 1'-6"W x 5'-8"L x 18"H</t>
  </si>
  <si>
    <t>Wood Bench, Formed with OSB Size: 1'-6"W x 6'-4"L x 18"H</t>
  </si>
  <si>
    <t>Decomposed Gravel for XMAS Tree Plaza</t>
  </si>
  <si>
    <t>3'-6" Wide x 1'-4" Deep Concrete Footing</t>
  </si>
  <si>
    <t>Tree Light, Provide Water Proof Power Outlets at Base of Tree for White Exterior Tree Lights With Waterproof Black Vable System</t>
  </si>
  <si>
    <t>4" Thick PCC Driveway_x000D_
- Over Compacted Subgrade</t>
  </si>
  <si>
    <t>Accessible Curb Ramp, Case B Type I, Per APWA STD Plan 111-5, 4" Thick PCC Ramp_x000D_
- Over Compacted Subgrade</t>
  </si>
  <si>
    <r>
      <t>Existing Concrete Driveway, Remove and Construct Curb, Gutter &amp; Sidewalk Caltrans, Permit Required ,</t>
    </r>
    <r>
      <rPr>
        <sz val="11"/>
        <color rgb="FFFF0000"/>
        <rFont val="Calibri"/>
        <family val="2"/>
        <scheme val="minor"/>
      </rPr>
      <t xml:space="preserve"> Extents and Details are Missing</t>
    </r>
  </si>
  <si>
    <t>LS</t>
  </si>
  <si>
    <t>6" Standard Concrete Curb and Gutter (x2.65 SF)</t>
  </si>
  <si>
    <t>6" Beam Curb (0.628 SF)</t>
  </si>
  <si>
    <t>3" AC Cover_x000D_
- Over 4" Thick Class II Base Paving_x000D_
- Compacted Subgrade</t>
  </si>
  <si>
    <t>6'-0" Wide PCC Exterior Stair - (13 EA Risers 6.25", 12EA Treads 11.50")</t>
  </si>
  <si>
    <t>3'-6" x 1'-4" Wall Key w/ #6 Bars @ 8" o.c. EW</t>
  </si>
  <si>
    <t>5'-6" x 1'-2" Concrete Footing w/ 8#5 Bars &amp; #6 Bars @ 8" o.c. Top &amp; Bottom</t>
  </si>
  <si>
    <t>1 CF per FT 3/4" Select Drain Rock Wrapped in Geotextile Filter Fabric Lap 8" Min 
- 4" Perforated Pipe SDR 35. 1/4" Dia Holes in Bottom One Third Pipe (10 Holes Per LF min)</t>
  </si>
  <si>
    <t>8" Wide Concrete Retaining Wall w/ #5 Bars @ 8" o.c. Vertical &amp; #5 Bars @ 12" o.c. Horizontal
- Backfill with 1/2" Gravel to within 18" of Top of Wall - (±3765 BLOCKS)</t>
  </si>
  <si>
    <t>4'-6" High 8"x12"x16" CMU Wall - (±179 BLOCKS)</t>
  </si>
  <si>
    <t>Planter Walls, 2'-10" High 8"x8"x16" CMU Wall w/ #6 Bars @ 16" o.c. Vertical &amp; #5 Bar @ 24" o.c. and 1 Top Extra Bar Horizontal - (±193 BLOCKS)</t>
  </si>
  <si>
    <t>4" Dia ADS N-12 HDPE Storm Drain Pipe</t>
  </si>
  <si>
    <t>6" Dia ADS N-12 HDPE Storm Drain Pipe</t>
  </si>
  <si>
    <t>8" Dia ADS N-12 HDPE Storm Drain Pipe</t>
  </si>
  <si>
    <t>10" Dia ADS N-12 HDPE Storm Drain Pipe</t>
  </si>
  <si>
    <t>24" Dia ADS N-12 HDPE Storm Drain Pipe</t>
  </si>
  <si>
    <t>12" Dia ADS N-12 HDPE Storm Drain Pipe</t>
  </si>
  <si>
    <t>Storm Tech MC-3500 Chambers</t>
  </si>
  <si>
    <t>Inspection Port w/ Concrete Collar (Collar Size: 12" Dia)</t>
  </si>
  <si>
    <t>Storm Tech SC-310 Chambers</t>
  </si>
  <si>
    <t>MC-3500 End Cap for Chambers</t>
  </si>
  <si>
    <t>SC-310 End Cap for Chambers</t>
  </si>
  <si>
    <t>24" x 24" Drop Inlet With Frame Cast in Extension</t>
  </si>
  <si>
    <t>1212-HDI: 12" x 12" x 24" High Drop Inlet With Cast-In Frame &amp; Grate</t>
  </si>
  <si>
    <t>5'-0" x 5'-0" Manhole w/ Storm High Recommends Flexstorm Insert in Any Upstream Structure with Open Grates</t>
  </si>
  <si>
    <t>5'-0" x 5'-0" Nyloplast Manhole w/ Storm High Recommends Flexstorm Insert in Any Upstream Structure with Open Grates</t>
  </si>
  <si>
    <t>Excavation for Storm Chambers</t>
  </si>
  <si>
    <t>Excavation for Storm Utilities</t>
  </si>
  <si>
    <t>Backfill for Storm Utilities</t>
  </si>
  <si>
    <t>8" Dia PVC Sewer per JLPUD</t>
  </si>
  <si>
    <t>6" Dia Sewer Lateral Per APWA STD Plan 222-2 and JLPUD</t>
  </si>
  <si>
    <t>Precast Concrete Sewer Manhole</t>
  </si>
  <si>
    <t>Terminal Cleanout w/ Access Frame &amp; Cover</t>
  </si>
  <si>
    <t>Core Existing Manhole and Join per APWA STD Plan 208-3 and JLPUD</t>
  </si>
  <si>
    <t>Excavation for Sewerage</t>
  </si>
  <si>
    <t>Backfill for Sewerage</t>
  </si>
  <si>
    <t>2" Dia PVC Water Line Per JLPUD</t>
  </si>
  <si>
    <t>4" Dia PVC Water Line Per JLPUD</t>
  </si>
  <si>
    <t>6" Dia PVC Water Line Per JLPUD</t>
  </si>
  <si>
    <t>8" Dia PVC Water Line Per JLPUD</t>
  </si>
  <si>
    <t>Install 8" Water Gate Valve per JLPUD</t>
  </si>
  <si>
    <t>Water Meter</t>
  </si>
  <si>
    <t>Join Existing 8" Water Line_x000D_
- Install 8" Tee per JLPUD</t>
  </si>
  <si>
    <t>Join Existing 2" Water Line_x000D_
- Install 2" Tee per JLPUD</t>
  </si>
  <si>
    <t>Fire Hydrant</t>
  </si>
  <si>
    <t>Construct Air VAC at High Point in Line Per JLPUD</t>
  </si>
  <si>
    <t>Sprinkler Backflow Device</t>
  </si>
  <si>
    <t>Propane</t>
  </si>
  <si>
    <t>Excavation for Water Utilities</t>
  </si>
  <si>
    <t>Backfill for Water Utilities</t>
  </si>
  <si>
    <t>Allowance for Irrigation for all Landscaping</t>
  </si>
  <si>
    <t>Native Meadow/Shrubs Snow Storage</t>
  </si>
  <si>
    <t>Allowance for Soil Preparation for all Landscaping</t>
  </si>
  <si>
    <t>Mulching, Assuming 3" Deep Hardwood Barch Mulching</t>
  </si>
  <si>
    <t>Christmas Tree, Seasonal Tree Imported and Illuminated for Decoration</t>
  </si>
  <si>
    <t>Tree, Quaking Aspen</t>
  </si>
  <si>
    <t>Sweet Woodruff</t>
  </si>
  <si>
    <t>Wooly Speedwell</t>
  </si>
  <si>
    <t>Groundcover with Yarrow</t>
  </si>
  <si>
    <t>Stonecrop Groundcover</t>
  </si>
  <si>
    <t>Rice Grass</t>
  </si>
  <si>
    <t>Berms, Creeping Wild Rye</t>
  </si>
  <si>
    <t>Great Basin Wild Rye</t>
  </si>
  <si>
    <t>Alkali Sacation</t>
  </si>
  <si>
    <t>Desert Ceantothus</t>
  </si>
  <si>
    <t>Buckwheat</t>
  </si>
  <si>
    <t>Dogwood</t>
  </si>
  <si>
    <t>Fernbush</t>
  </si>
  <si>
    <t>1'-6" x 1'-1" Concrete Grade Beam w/ Reinforcement</t>
  </si>
  <si>
    <t>8"x8"x16" CMU wall - 6'-8" High 
Painted Both Sides</t>
  </si>
  <si>
    <t>5" Thick Concrete Slab on Grade w/ #4 Bras @ 12" o.c EW
- Over Compacted Subgrade - (±109 SF)</t>
  </si>
  <si>
    <t>Slab</t>
  </si>
  <si>
    <t>Walls</t>
  </si>
  <si>
    <t>Roof Framing</t>
  </si>
  <si>
    <t>Metal Roofing</t>
  </si>
  <si>
    <t>Flashing at Perimeter</t>
  </si>
  <si>
    <t>5/8" T&amp;G CDX-I Plywood Sheathing for Roof</t>
  </si>
  <si>
    <t>6x10 DF Beam w/ 3/4" x 30" Threads</t>
  </si>
  <si>
    <t>8x8 DF Post - 10'-0"H</t>
  </si>
  <si>
    <t>1x8 T&amp;G Cedar Siding</t>
  </si>
  <si>
    <t>1x3 Trim</t>
  </si>
  <si>
    <t>Soil to be Imported (Needed After Grading)</t>
  </si>
  <si>
    <t>P1: 2'-6" x 2'-6" x 12" Concrete Footing w/ #5 Bars 9" o.c. EW</t>
  </si>
  <si>
    <t>P2: 4'-0" x 4'-0" x 18" Concrete Footing w/ #5 Bars 9" o.c. EW</t>
  </si>
  <si>
    <t>P3: 5'-0" x 5'-0" x 18" Concrete Footing w/ #5 Bars 9" o.c. EW</t>
  </si>
  <si>
    <t>P4: 5'-6" x 5'-6" x 18" Concrete Footing w/ #5 Bars 9" o.c. EW</t>
  </si>
  <si>
    <t>P5: 5'-6" x 8'-0" x 18" Concrete Footing w/ #5 Bars 9" o.c. EW T&amp;B</t>
  </si>
  <si>
    <t>6"x6" Concrete Curb w/ 1#4 Bar</t>
  </si>
  <si>
    <t>18x18 Sump Pit for Elevator</t>
  </si>
  <si>
    <t>1'-2" x 1'-2" x 1'-0" Concrete Pier w/ 4#5 Bars &amp; #3 Ties @ 4" o.c.</t>
  </si>
  <si>
    <t>1'-2" x 1'-2" x 2'-6" Concrete Pier w/ 4#5 Bars &amp; #3 Ties @ 4" o.c.</t>
  </si>
  <si>
    <t>1'-2" x 1'-2" x 1'-0" Concrete Pier for Interior Columns</t>
  </si>
  <si>
    <t>2'-0" Wide x 2'-4" Deep Grade Beam w/ 4#4 Bars 
- 0.12 SF Thickened Edge</t>
  </si>
  <si>
    <t>2'-0" Wide x 4'-2" Deep Grade Beam w/ 6#5 Bars 
- 0.12 SF Thickened Edge</t>
  </si>
  <si>
    <t>Hardwares</t>
  </si>
  <si>
    <t>9 1/4" SQ x 1/2" Thick Steel Plate</t>
  </si>
  <si>
    <t>5/8" Dia x Threads</t>
  </si>
  <si>
    <t>6 1/2" x 1/4" Thick Steel Knife Plate</t>
  </si>
  <si>
    <t>9-1/2" x 9-1/2" x 1/2" Base Plate</t>
  </si>
  <si>
    <t>1/4" Thick Bent Plate</t>
  </si>
  <si>
    <t>3/4" Dia x Thru-Bolts</t>
  </si>
  <si>
    <t>8-1/2 SQ x 1/2" Thick Base Plate</t>
  </si>
  <si>
    <t>5/8" Dia A.B.</t>
  </si>
  <si>
    <t>1'-4" Wide x 2'-4" Deep Grade Beam w/ 4#4 Bars &amp; #4 Dowels @ 16" o.c. 
- 0.06 SF Thickened Edge</t>
  </si>
  <si>
    <t>Retaining Wall</t>
  </si>
  <si>
    <t>6"x1'-6" Concrete Wall w/ @6 Bars @ 16" o.c.</t>
  </si>
  <si>
    <t xml:space="preserve"> 4" Dia Drain Pipe with 12"x12" Gravel, Wrapped in Filter Fabric</t>
  </si>
  <si>
    <t>5'-6" Wide x 1'-4" High Concrete Footing w/ #6 bars @ 16" o.c. T&amp;B Transverse &amp; #5 Bars @ 16" o.c T&amp;B Longitudinal</t>
  </si>
  <si>
    <t>6'-6" Wide x 1'-4" High Concrete Footing w/ #6 bars @ 16" o.c. T&amp;B Transverse &amp; #5 Bars @ 16" o.c T&amp;B Longitudinal</t>
  </si>
  <si>
    <t>8'-0" Wide x 1'-6" High Concrete Footing w/ #6 bars @ 16" o.c. T&amp;B Transverse &amp; #5 Bars @ 8" o.c T&amp;B Longitudinal</t>
  </si>
  <si>
    <t>9'-6" Wide x 1'-8" High Concrete Footing w/ #6 bars @ 16" o.c. T&amp;B Transverse &amp; #5 Bars @ 8" o.c T&amp;B Longitudinal</t>
  </si>
  <si>
    <t>4'-0" Wide x 1'-4" High Concrete Footing w/ #6 bars @ 16" o.c. T&amp;B Transverse &amp; #5 Bars @ 16" o.c T&amp;B Longitudinal</t>
  </si>
  <si>
    <t>11'-0" Wide x 1'-4" High Concrete Footing w/ #6 bars @ 16" o.c. T&amp;B Transverse &amp; #5 Bars @ 16" o.c T&amp;B Longitudinal</t>
  </si>
  <si>
    <t>8" Wide x 5'-4" High Concrete Retaining Wall w/ #4 Bars @ 16" o.c. Hor. &amp; Vert &amp; #6 Bars @ 16" o.c. Hori &amp; Vertical Other Face</t>
  </si>
  <si>
    <t>8" Wide x 7'-8" High Concrete Retaining Wall w/ #4 Bars @ 16" o.c. Hor. &amp; Vert &amp; #6 Bars @ 16" o.c. Hori &amp; Vertical Other Face</t>
  </si>
  <si>
    <t>12" Wide x 7'-0" High Concrete Retaining Wall w/ #4 Bars @ 16" o.c. Hor. &amp; Vert &amp; #6 Bars @ 16" o.c. Hori &amp; Vertical Other Face and #5 Bars @ 16" o.c. Hori &amp; #6 Bars @ 16" o.c. Vertical</t>
  </si>
  <si>
    <t>12" Wide x 4'-0" High Concrete Retaining Wall w/ #4 Bars @ 16" o.c. Hor. &amp; Vert &amp; #6 Bars @ 16" o.c. Hori &amp; Vertical Other Face and #5 Bars @ 16" o.c. Hori &amp; #6 Bars @ 16" o.c. Vertical</t>
  </si>
  <si>
    <t>12" Wide x 5'-0" High Concrete Retaining Wall w/ #4 Bars @ 16" o.c. Hor. &amp; Vert &amp; #6 Bars @ 16" o.c. Hori &amp; Vertical Other Face and #5 Bars @ 16" o.c. Hori &amp; #6 Bars @ 16" o.c. Vertical</t>
  </si>
  <si>
    <t>12" Wide x 15'-0" High Concrete Retaining Wall w/ #4 Bars @ 16" o.c. Hor. &amp; Vert &amp; #6 Bars @ 16" o.c. Hori &amp; Vertical Other Face and #5 Bars @ 16" o.c. Hori &amp; #6 Bars @ 16" o.c. Vertical</t>
  </si>
  <si>
    <t>8" Wide x 3'-4" High Concrete Retaining Wall w/ #4 Bars @ 16" o.c. Hor. &amp; Vert &amp; #6 Bars @ 16" o.c. Hori &amp; Vertical Other Face</t>
  </si>
  <si>
    <t>Vapor Barrier</t>
  </si>
  <si>
    <t>2" Rigid Insulation</t>
  </si>
  <si>
    <t>Headers</t>
  </si>
  <si>
    <t>6x6 #1 DF-L S4S</t>
  </si>
  <si>
    <t>6x8 #1 DF-L S4S</t>
  </si>
  <si>
    <t>6x10 #1 DF-L S4S</t>
  </si>
  <si>
    <t>6x12 #1 DF-L S4S</t>
  </si>
  <si>
    <t>6x14 #1 DF-L S4S</t>
  </si>
  <si>
    <t>5.25x16 LVL</t>
  </si>
  <si>
    <t>HFX18x11-HS Panel - 1'-9"L</t>
  </si>
  <si>
    <t>Hangers for 2-2x12 Floor Joist to Wood Beam Connection</t>
  </si>
  <si>
    <t>4x6 #1 DF-L S4S - 10'</t>
  </si>
  <si>
    <t>4x6 #1 DF-L S4S - 12'-2"H</t>
  </si>
  <si>
    <t>6x6 DF-L Post - 8'</t>
  </si>
  <si>
    <t>6x6 DF-L Post - 10'</t>
  </si>
  <si>
    <t>6x6 #1 DF-L S4S - 12'</t>
  </si>
  <si>
    <t>6x6 #1 DF-L S4S - 12'-2"H</t>
  </si>
  <si>
    <t>6x6 #1 DF-L S4S - 12'-4"</t>
  </si>
  <si>
    <t>6x6 #1 DF-L S4S - 14'</t>
  </si>
  <si>
    <t>6x8 #1 DF-L S4S - 10'-2"H</t>
  </si>
  <si>
    <t>6x8 #1 DF-L S4S - 12'-2"H</t>
  </si>
  <si>
    <t>6x8 #1 DF-L S4S - 12'-4"</t>
  </si>
  <si>
    <t>6x8 #1 DF-L S4S - 14'</t>
  </si>
  <si>
    <t>8x8 #1 DF-L S4S - 12'-2"H</t>
  </si>
  <si>
    <t>Posts</t>
  </si>
  <si>
    <t>Floor Framing</t>
  </si>
  <si>
    <t>8-3/4" x 21" GLB Beam</t>
  </si>
  <si>
    <t>8-3/4" x 18" GLB Beam</t>
  </si>
  <si>
    <t>6-3/4" x 15" GLB Beam</t>
  </si>
  <si>
    <t>4x12 #2 DF-L S4S Beam</t>
  </si>
  <si>
    <t>8-3/4" x 15" GLB Beam</t>
  </si>
  <si>
    <t>7/8" Dia A.B. @ 12" o.c.</t>
  </si>
  <si>
    <t>2x12 #2 DF-L S4S Rim Joist</t>
  </si>
  <si>
    <t>2x8 #2 DF-L S4S Rim Joist</t>
  </si>
  <si>
    <t>2x12 #2 DF-L S4S Blocking</t>
  </si>
  <si>
    <t>4x12 P.T. #1 DF-L Ledger</t>
  </si>
  <si>
    <t>Ceiling Framing</t>
  </si>
  <si>
    <t>4x12 #2 DF-L S4S Beam (Spacing 12" Area=194 SF)</t>
  </si>
  <si>
    <t>2x12 #2 DF-L S4S Beam (Spacing 12" Area=93 SF)</t>
  </si>
  <si>
    <t>2x8 #2 DF-L S4S Blocking</t>
  </si>
  <si>
    <t>Post Cap for Wood Beam Connection</t>
  </si>
  <si>
    <t>HSS5x5x1/2 Steel Post - 10'-2"H</t>
  </si>
  <si>
    <t>6x6 #1 DF-L S4S - 5'-0"L Kicker</t>
  </si>
  <si>
    <t>6x8 #1 DF-L S4S - 5'-0"L Kicker</t>
  </si>
  <si>
    <t>6x10 #1 DF-L S4S Beam</t>
  </si>
  <si>
    <t>6x14 SS DF-L S4S Beam</t>
  </si>
  <si>
    <t>6x18 #1 DF-l S4S Beam</t>
  </si>
  <si>
    <t>6x12 #1 DF-L S4S Beam</t>
  </si>
  <si>
    <t>6-3/4" x 18" GLU Beam</t>
  </si>
  <si>
    <t>8-3/4" x 18" GLU Beam</t>
  </si>
  <si>
    <t>8-3/4" x 12" GLU Beam</t>
  </si>
  <si>
    <t>8-3/4" x 21" GLU Beam</t>
  </si>
  <si>
    <t>Canopy Framing</t>
  </si>
  <si>
    <t>2x10 #2 DF-L S4S Blocking</t>
  </si>
  <si>
    <t>3x6 #2 DF-L S4S Blocking</t>
  </si>
  <si>
    <t>4x12 #2 DF-L Ledger</t>
  </si>
  <si>
    <t>S2.1</t>
  </si>
  <si>
    <t>S7.1</t>
  </si>
  <si>
    <t>S2.2 - S4.1</t>
  </si>
  <si>
    <t>A1.1 - A1.4</t>
  </si>
  <si>
    <t>C-3</t>
  </si>
  <si>
    <t>A1.4</t>
  </si>
  <si>
    <t>C-5</t>
  </si>
  <si>
    <t>C3E</t>
  </si>
  <si>
    <t>C3B</t>
  </si>
  <si>
    <t>C-4</t>
  </si>
  <si>
    <t>R30 Spray Foam Insulation Btw Roof Framing</t>
  </si>
  <si>
    <t>R30 Spray Foam Insulation Btw Floor Framing - Assumed</t>
  </si>
  <si>
    <t>2x12 #2 DF-L S4S Sub Fascia</t>
  </si>
  <si>
    <t>5/8" Dia x 12" Anchor Bolts</t>
  </si>
  <si>
    <t>A8.3</t>
  </si>
  <si>
    <t>(12'-0"x9'-0"x0'-1-3/4") Ext Insulated Aluminum Clad Wood Roll Up Garage Door W/ Aluminum Frame 
MFG : COOKSON 
MDL: ESD30 Or Arch Approved EQ.</t>
  </si>
  <si>
    <t xml:space="preserve">08 52 00 </t>
  </si>
  <si>
    <t xml:space="preserve">(2'-6"x4'-0") Single Fixed Aluminum Clad Wood Window W/ Frame 
MFG: SIERRA PACIFIC 
MDL: H3 </t>
  </si>
  <si>
    <t xml:space="preserve">(6'-0"x5'-0") Multi Unit Aluminum Clad Wood Window W/ Frame 
MFG: SIERRA PACIFIC 
MDL: H3 </t>
  </si>
  <si>
    <t xml:space="preserve">(4'-8"x5'-0") French Casement Aluminum Clad Wood Window W/ Frame 
MFG: SIERRA PACIFIC 
MDL: H3 </t>
  </si>
  <si>
    <t xml:space="preserve">(2'-0"x1'-6") Single Fixed Aluminum Clad Wood Window W/ Frame 
MFG: SIERRA PACIFIC 
MDL: H3 </t>
  </si>
  <si>
    <t xml:space="preserve">(6'-0"x4'-0") Single Fixed Aluminum Clad Wood Window W/ Frame 
MFG: SIERRA PACIFIC 
MDL: H3 </t>
  </si>
  <si>
    <t xml:space="preserve">(3'-0"x4'-0") Single Fixed Aluminum Clad Wood Window W/ Frame 
MFG: SIERRA PACIFIC 
MDL: H3 </t>
  </si>
  <si>
    <t xml:space="preserve">(6'-0"x4'-5") French Casement Aluminum Clad Wood Window W/ Frame 
MFG: SIERRA PACIFIC 
MDL: H3 </t>
  </si>
  <si>
    <t xml:space="preserve">(6'-0"x4'-0") French Casement Aluminum Clad Wood Window W/ Frame 
MFG: SIERRA PACIFIC 
MDL: H3 </t>
  </si>
  <si>
    <t xml:space="preserve">(3'-0"x2'-4")Awning Aluminum Clad Wood Window W/ Frame 
MFG: SIERRA PACIFIC 
MDL: H3 </t>
  </si>
  <si>
    <t xml:space="preserve">(6'-0"x4'-0") Pair Fixed Aluminum Clad Wood Window W/ Frame 
MFG: SIERRA PACIFIC 
MDL: H3 </t>
  </si>
  <si>
    <t xml:space="preserve">(6'-0"x5'-4") Multi Unit Aluminum Clad Wood Window W/ Frame 
MFG: SIERRA PACIFIC 
MDL: H3 </t>
  </si>
  <si>
    <t xml:space="preserve">(6'-0"x5'-4") Pair Fixed Aluminum Clad Wood Window W/ Frame 
MFG: SIERRA PACIFIC 
MDL: H3 </t>
  </si>
  <si>
    <t xml:space="preserve">(4'-8"x4'-2") Pair Fixed Aluminum Clad Wood Window W/ Frame 
MFG: SIERRA PACIFIC 
MDL: H3 </t>
  </si>
  <si>
    <t xml:space="preserve">(6'-0"x4'-10") Multi Unit Aluminum Clad Wood Window W/ Frame 
MFG: SIERRA PACIFIC 
MDL: H3 </t>
  </si>
  <si>
    <t xml:space="preserve">(6'-0"x4'-4") French Casement Aluminum Clad Wood Window W/ Frame 
MFG: SIERRA PACIFIC 
MDL: H3 </t>
  </si>
  <si>
    <t xml:space="preserve">(3'-0"x4'-4")Awning Aluminum Clad Wood Window W/ Frame 
MFG: SIERRA PACIFIC 
MDL: H3 </t>
  </si>
  <si>
    <t xml:space="preserve">(4'-0"x4'-0") Single Fixed Aluminum Clad Wood Window W/ Frame 
MFG: SIERRA PACIFIC 
MDL: H3 </t>
  </si>
  <si>
    <t xml:space="preserve">(4'-0"x2'-10") Awning Aluminum Clad Wood Window W/ Frame 
MFG: SIERRA PACIFIC 
MDL: H3 </t>
  </si>
  <si>
    <t xml:space="preserve">(6'-0"x2'-10") Single Fixed Aluminum Clad Wood Window W/ Frame 
MFG: SIERRA PACIFIC 
MDL: H3 </t>
  </si>
  <si>
    <t xml:space="preserve">(3'-3"x2'-10") Awning Aluminum Clad Wood Window W/ Frame 
MFG: SIERRA PACIFIC 
MDL: H3 </t>
  </si>
  <si>
    <t xml:space="preserve">(6'-0"x2'-10") Awning Aluminum Clad Wood Window W/ Frame 
MFG: SIERRA PACIFIC 
MDL: H3 </t>
  </si>
  <si>
    <t>(6'-2"x7'- 4 1/2") Single Fixed Aluminum Clad Wood Window W/ Frame 
MFG: SIERRA PACIFIC 
MDL: H3</t>
  </si>
  <si>
    <t>(2'-4"x2'-0") Single Fixed Aluminum Clad Wood Window W/ Frame 
MFG: SIERRA PACIFIC 
MDL: H3</t>
  </si>
  <si>
    <t xml:space="preserve">(2'-8"x2'-0") Awning Aluminum Clad Wood Window W/ Frame 
MFG: SIERRA PACIFIC 
MDL: H3 </t>
  </si>
  <si>
    <t xml:space="preserve">(3'-0"x4'-0") Single Casement Aluminum Clad Wood Window W/ Frame 
MFG: SIERRA PACIFIC 
MDL: H3 </t>
  </si>
  <si>
    <t xml:space="preserve">(2'-8"x Sloped 1'-8" To 2'-2 3/4") Aluminum Louver W/ Frame 
MFG: SIERRA PACIFIC 
MDL: H3 </t>
  </si>
  <si>
    <t>Typical Door Hardwares</t>
  </si>
  <si>
    <t>A8.1</t>
  </si>
  <si>
    <t>A2.3 - A2.4</t>
  </si>
  <si>
    <t>Ceramic Tile Flooring</t>
  </si>
  <si>
    <t>6" Tile Wall Base</t>
  </si>
  <si>
    <t xml:space="preserve">09 33 00 </t>
  </si>
  <si>
    <t>CONCRETE SEALING</t>
  </si>
  <si>
    <t>Sealed Concrete 
MFG: Seal Krete 
CLR: Clear
NBR: Clear-Seal</t>
  </si>
  <si>
    <t>Carpet Floor Finish</t>
  </si>
  <si>
    <t>Dexotex Deck Coating</t>
  </si>
  <si>
    <t>4" Dexotex Deck Coating Base</t>
  </si>
  <si>
    <t>4" Baseboard (Assumed)</t>
  </si>
  <si>
    <t>4" Rubber Based (Assumed)</t>
  </si>
  <si>
    <t>A8.2</t>
  </si>
  <si>
    <t>A6.2</t>
  </si>
  <si>
    <t>36"  Grab Bar
Supplied: Contractor
MFG: Bobrick
Catalog #: B-5806x36"</t>
  </si>
  <si>
    <t>42" Grab Bar
Supplied: Contractor
MFG: Bobrick
Catalog #: B-5806x36"</t>
  </si>
  <si>
    <t>Disabled Access Paper Towel Receptacle</t>
  </si>
  <si>
    <t>Disabled Access Combination Dispenser Receptacle</t>
  </si>
  <si>
    <t>(1'-8"x2'-4") Mirror By Contractor</t>
  </si>
  <si>
    <t>(2'-6"x3'-10") Mirror By Contractor</t>
  </si>
  <si>
    <t xml:space="preserve">10 44 13 </t>
  </si>
  <si>
    <t>Baby Changing Station 
Supplied: Contractor 
MFG: KOALA CARE 
Catalog: KB110-SSRE HORIZ RECESSED</t>
  </si>
  <si>
    <t>A2.3 -A2.4</t>
  </si>
  <si>
    <t>A2.1 - A2.2</t>
  </si>
  <si>
    <t>(4'-0"D) Public Laundry Table</t>
  </si>
  <si>
    <t>(1'-8"x2'-3") Vanity Base Cabinet
PL. LAM finish (All Sides) Over 3/4" Marine Grade Plywood Door
W/ Eurostyle Hinges</t>
  </si>
  <si>
    <t>(2'-0"D) Warehouse Storage</t>
  </si>
  <si>
    <t>(3'-0"D) Warehouse Storage</t>
  </si>
  <si>
    <t>(1'-10"D) Warehouse Storage</t>
  </si>
  <si>
    <t>(2'-8"D) Laundry Cabinet</t>
  </si>
  <si>
    <t>(2'-6"D) Office Cabinets</t>
  </si>
  <si>
    <t>(3'-0"D) Warehouse Table</t>
  </si>
  <si>
    <t>(2'-0"D) Office Cabinets</t>
  </si>
  <si>
    <t>(2'-6"x3'-0") Tenant Food Prep Base Cabinets</t>
  </si>
  <si>
    <t>(2'-0"x3'-0") Tenant Food Prep Base Cabinets</t>
  </si>
  <si>
    <t>(4'-6"x3'-0") Tenant Food Prep Base Cabinets</t>
  </si>
  <si>
    <t>(5'-3"x3'-0") Tenant Food Prep Base Cabinets</t>
  </si>
  <si>
    <t>(2'-0"x3'-0") Tenant Food Takeout Base Cabinets</t>
  </si>
  <si>
    <t>(1'-2"D) Pickup Counter</t>
  </si>
  <si>
    <t>(2'-6"x3'-0") Tenant Food Takeout Base Cabinets</t>
  </si>
  <si>
    <t>(3'-0"x3'-0") Tenant Food Prep Base Cabinets</t>
  </si>
  <si>
    <t>(1'-6"D) Office Cabinets</t>
  </si>
  <si>
    <t>(2'-0"D) Workspace Cabinets</t>
  </si>
  <si>
    <t>(2'-10"D) Workspace Cabinets</t>
  </si>
  <si>
    <t>(2'-6"D) Workspace Cabinets</t>
  </si>
  <si>
    <t>(2'-2"x7'-0") Full Hight Cabinet</t>
  </si>
  <si>
    <t>(2'-0"x3'-0") Coffee Service Base Cabinets</t>
  </si>
  <si>
    <t>(1'-0"x2'-8") Coffee Service Upper Cabinets</t>
  </si>
  <si>
    <t>(2'-10"D) Warehouse Table</t>
  </si>
  <si>
    <t>(1'-8"D) 1 1/8" Solid Surface Counter</t>
  </si>
  <si>
    <t>(1'-0") Reception Counter
Supplied: Contractor
MFG: Custom</t>
  </si>
  <si>
    <t>BICYCLE RACKS</t>
  </si>
  <si>
    <t>Bike Rack
Supplied: Contractor 
MFG: The Park Catalog 
Catalog #: Wave Rack , 2 3/8" Heavy Duty</t>
  </si>
  <si>
    <t xml:space="preserve">32 94 00 </t>
  </si>
  <si>
    <t>TREE GRATES PRODUCTS WITH CAD,BIM,AND SPECS</t>
  </si>
  <si>
    <t>Tree Grate 
Supplied: Contractor 
MFG: IRONSMITH 
Catalog #: 4898 VERTIGO</t>
  </si>
  <si>
    <t>Door Flashing &amp; Sealant</t>
  </si>
  <si>
    <t>LBS</t>
  </si>
  <si>
    <t>Floor Framing - 2-2x12 #2 DF-L S4S Floor Joists @ 12" o.c. (1588 SF)
- 2x12 #2 DF-L S4S - 14' (54EA)
- 2x12 #2 DF-L S4S - 16' (70EA)
- 2x12 #2 DF-L S4S - 18' (70EA)</t>
  </si>
  <si>
    <t>Floor Framing - 2x12 #2 DF-L S4S Floor Joists @ 12" o.c. (701 SF)
- 2x12 #2 DF-L S4S - 18' (40EA)</t>
  </si>
  <si>
    <t>Floor Framing - 2x12 #2 DF-L S4S Floor Joists @ 16" o.c. (693 SF)
- 2x12 #2 DF-L S4S - 8' (1EA)
- 2x12 #2 DF-L S4S - 10' (6EA)
- 2x12 #2 DF-L S4S - 16' (30EA)</t>
  </si>
  <si>
    <t>Ceiling Framing - 2x8 #2 DF-L S4S Ceiling Joists @ 12" o.c. (807 SF)
- 2x8 #2 DF-L S4S - 8' (4 EA)
- 2x8 #2 DF-L S4S - 10' (34 EA)
- 2x8 #2 DF-L S4S - 12' (10 EA)
- 2x8 #2 DF-L S4S - 14' (26 EA)</t>
  </si>
  <si>
    <t>Roof Framing - 2x12 #1 DF-l S4S Rafters @ 16" O.c.  (4790 SF)
- 2x12 #2 DF-L S4S - 8' (5 EA)
- 2x12 #2 DF-L S4S - 10' (3 EA)
- 2x12 #2 DF-L S4S - 12' (12 EA)
- 2x12 #2 DF-L S4S - 14' (11 EA)
- 2x12 #2 DF-L S4S - 16' (2 EA)
- 2x12 #2 DF-L S4S - 18' (2 EA)
- 2x12 #2 DF-L S4S - 20' (2 EA)
- 2x12 #2 DF-L S4S - 22' (23 EA)
- 2x12 #2 DF-L S4S - 24' (4 EA)
- 2x12 #2 DF-L S4S - 26' (5 EA)
- 2x12 #2 DF-L S4S - 28' (44 EA)
- 2x12 #2 DF-L S4S - 30' (42 EA)
- 2x12 #2 DF-L S4S - 32' (15 EA)
- 2x12 #2 DF-L S4S - 34' (1 EA)
- 2x12 #2 DF-L S4S - 36' (16 EA)</t>
  </si>
  <si>
    <t>Canopy Roof Framing - 4x10 #2 DF-L S4S Rafters @ 30" o.c. (497 SF)
- 4x10 #2 DF-L S4S - 8' (11 EA)
- 4x10 #2 DF-L S4S - 10' (22 EA)
- 4x10 #2 DF-L S4S - 12' (1 EA)</t>
  </si>
  <si>
    <t>4'x8'x3/4" CDX Plywood  (48/24) Sheathing for Floor (±93 EA)</t>
  </si>
  <si>
    <t>4'x8'x5/8" CDX-I Plywood  (48/24) Sheathing for Ceiling (±25 EA)</t>
  </si>
  <si>
    <t>4'x8'x5/8" CDX-I Plywood  (48/24) Sheathing for Roof (±150 EA)</t>
  </si>
  <si>
    <t>Flashing for Exterior Doors, 14" Wide</t>
  </si>
  <si>
    <t>Window Interior Sill</t>
  </si>
  <si>
    <t>Window Wrap Flex Flashing</t>
  </si>
  <si>
    <t>3-1/2" x 3-3/4" Coved Base Ceramic Tile</t>
  </si>
  <si>
    <t>Paper Towel dispenser Trash
Supplied By Contractor
MFG: Bobrick 
Catalog #: B-39479</t>
  </si>
  <si>
    <t>Refrigerator</t>
  </si>
  <si>
    <t>3" Galvanized Pipe Handrail</t>
  </si>
  <si>
    <t>3'-6"High Metal Railing W/ 5 metal Posts Painted</t>
  </si>
  <si>
    <t>A5.1</t>
  </si>
  <si>
    <t>2x8  Exterior Siding Corner Trim Painted</t>
  </si>
  <si>
    <t>6" Exterior Siding Trim Painted</t>
  </si>
  <si>
    <t>2" Exterior Siding Trim Painted</t>
  </si>
  <si>
    <t>3" Exterior Siding Trim Painted</t>
  </si>
  <si>
    <t>4x6 Exterior Structural Trim Painted</t>
  </si>
  <si>
    <t>W11 Ceiling Soffit Wood</t>
  </si>
  <si>
    <t>W9: Exterior Soffit Board</t>
  </si>
  <si>
    <t>Tyvek Flex Wrap Flashing @ Window W/ Lap</t>
  </si>
  <si>
    <t>7/8" -24 Ga.Two Layer Corrugated Metal Roofing Color Up &amp; Down</t>
  </si>
  <si>
    <t>24 GA. PBR. Panel Metal Roof</t>
  </si>
  <si>
    <t>7/8" Corrugated Metal Siding W/ Wood Sill @ Top</t>
  </si>
  <si>
    <t>W1 : Exterior Horizontal Siding</t>
  </si>
  <si>
    <t>W2: Vertical Exterior Siding</t>
  </si>
  <si>
    <t xml:space="preserve">Alternate Of Siding </t>
  </si>
  <si>
    <t>Hardie Siding Planks/ Cementitious Siding</t>
  </si>
  <si>
    <t>Ridge Flashing</t>
  </si>
  <si>
    <t>Drip Edge Flashing</t>
  </si>
  <si>
    <t>Peak Edge Flashing</t>
  </si>
  <si>
    <t>Metal Flashing</t>
  </si>
  <si>
    <t>6"x6" Metal Gutter Painted</t>
  </si>
  <si>
    <t>A2.1-A2.2</t>
  </si>
  <si>
    <t>2x6" Exterior Stud Wall (13'-9"H)</t>
  </si>
  <si>
    <t xml:space="preserve">2x6" DF#2 Exterior Stud Wall @16" O.C (14'-0"H,48 EA)
-W/ 6"  BDL Top &amp; Bottom Plate </t>
  </si>
  <si>
    <t xml:space="preserve">2x6 Wood Blocking </t>
  </si>
  <si>
    <t xml:space="preserve">5/8" Gypsum Wall Board </t>
  </si>
  <si>
    <t>1/2" CDX-1 Plywood Sheathing</t>
  </si>
  <si>
    <t>R-22 Insulation</t>
  </si>
  <si>
    <t>2x6" Exterior Stud Wall (9'-6"H)</t>
  </si>
  <si>
    <t xml:space="preserve">2x6" DF#2 Exterior Stud Wall @16" O.C (10'-0"H, 14 EA)
-W/ 6"  BDL Top &amp; Bottom Plate </t>
  </si>
  <si>
    <t>2x6 Exterior Stud Wall (12'-4"H)</t>
  </si>
  <si>
    <t xml:space="preserve">2x6" DF#2 Exterior Stud Wall @16" O.C (14'-0"H, 23 EA)
-W/ 6"  BDL Top &amp; Bottom Plate </t>
  </si>
  <si>
    <t xml:space="preserve">5/8" MR Gypsum Wall Board </t>
  </si>
  <si>
    <t>2x6" Exterior Stud Wall (2'-6"H)</t>
  </si>
  <si>
    <t xml:space="preserve">2x6" DF#2 Exterior Stud Wall @16" O.C (4'-0"H, 9 EA)
-W/ 6"  BDL Top &amp; Bottom Plate </t>
  </si>
  <si>
    <t>2x6" Exterior Stud Wall (9'-4"H)</t>
  </si>
  <si>
    <t xml:space="preserve">2x6" DF#2 Exterior Stud Wall @16" O.C (10'-0"H, 27 EA)
-W/ 6"  BDL Top &amp; Bottom Plate </t>
  </si>
  <si>
    <t>2x6" Interior Stud Wall (13'-9"H)</t>
  </si>
  <si>
    <t xml:space="preserve">2x6" DF#2 Interior Stud Wall @16" O.C (14'-0"H, 36 EA)
-W/ 6"  BDL Top &amp; Bottom Plate </t>
  </si>
  <si>
    <t>5/8" Gypsum Wall Board Both Sides</t>
  </si>
  <si>
    <t>2x6" Interior Stud Wall @16" O.C (8'-0"H)</t>
  </si>
  <si>
    <t xml:space="preserve">2x6" DF#2 Interior Stud Wall @16" O.C (8'-0"H, 36 EA)
-W/ 6"  BDL Top &amp; Bottom Plate </t>
  </si>
  <si>
    <t>2x6" Interior Stud Wall @ 16" O.c (8'-0"H)</t>
  </si>
  <si>
    <t xml:space="preserve">2x6" DF#2 Interior Stud Wall @16" O.C (8'-0"H, 39 EA)
-W/ 6"  BDL Top &amp; Bottom Plate </t>
  </si>
  <si>
    <t>2x6" Interior Wood Stud Wall (11'-9"H)</t>
  </si>
  <si>
    <t>2x8" Interior Stud Wall Plumbing Chase Wall (4'-0"H)</t>
  </si>
  <si>
    <t xml:space="preserve">2x8" DF#2 Interior Stud Wall @16" O.C (4'-0"H, 45 EA)
-W/ 8"  BDL Top &amp; Bottom Plate </t>
  </si>
  <si>
    <t>2x6" Interior Stud Wall (8'-6"H)</t>
  </si>
  <si>
    <t xml:space="preserve">2x6" DF#2 Interior Stud Wall @16" O.C (10'-0"H, 19 EA)
-W/ 6"  BDL Top &amp; Bottom Plate </t>
  </si>
  <si>
    <t>2x4" Interior Stud Wall (5'-0"H)</t>
  </si>
  <si>
    <t xml:space="preserve">2x4" DF#2 Interior Stud Wall @16" O.C (6'-0"H, 19 EA)
-W/ 4"  BDL Top &amp; Bottom Plate </t>
  </si>
  <si>
    <t>2x6" Exterior Stud Wall (16'-0"H)</t>
  </si>
  <si>
    <t xml:space="preserve">2x6" DF#2 Exterior Stud Wall @16" O.C (16'-0"H,17 EA)
-W/ 6"  BDL Top &amp; Bottom Plate </t>
  </si>
  <si>
    <t>2x6" Exterior Stud Wall (12'-10"H)</t>
  </si>
  <si>
    <t xml:space="preserve">2x6" DF#2 Exterior Stud Wall @16" O.C (14'-0"H,17 EA)
-W/ 6"  BDL Top &amp; Bottom Plate </t>
  </si>
  <si>
    <t>2x6" Exterior Stud Wall (10'-8"H)</t>
  </si>
  <si>
    <t xml:space="preserve">2x6" DF#2 Exterior Stud Wall @16" O.C (12'-0"H,73 EA)
-W/ 6"  BDL Top &amp; Bottom Plate </t>
  </si>
  <si>
    <t>2x6" Exterior Stud Wall (13'-6"H)</t>
  </si>
  <si>
    <t xml:space="preserve">2x6" DF#2 Exterior Stud Wall @16" O.C (14'-0"H,23 EA)
-W/ 6"  BDL Top &amp; Bottom Plate </t>
  </si>
  <si>
    <t>2x6" Exterior Stud Wall (13'-7"H)</t>
  </si>
  <si>
    <t xml:space="preserve">2x6" DF#2 Exterior Stud Wall @16" O.C (14'-0"H,24 EA)
-W/ 6"  BDL Top &amp; Bottom Plate </t>
  </si>
  <si>
    <t>2x6" Exterior Stud Wall (13'-4"H)</t>
  </si>
  <si>
    <t xml:space="preserve">2x6" DF#2 Exterior Stud Wall @16" O.C (14'-0"H,8 EA)
-W/ 6"  BDL Top &amp; Bottom Plate </t>
  </si>
  <si>
    <t>2x6" Exterior Stud Wall (16'-6"H)</t>
  </si>
  <si>
    <t xml:space="preserve">2x6" DF#2 Exterior Stud Wall @16" O.C (18'-0"H,19 EA)
-W/ 6"  BDL Top &amp; Bottom Plate </t>
  </si>
  <si>
    <t>2x6" Exterior Stud Wall (12'-9"H)</t>
  </si>
  <si>
    <t xml:space="preserve">2x6" DF#2 Exterior Stud Wall @16" O.C (14'-0"H,10 EA)
-W/ 6"  BDL Top &amp; Bottom Plate </t>
  </si>
  <si>
    <t>2x6" Exterior Stud Wall (12'-4"H)</t>
  </si>
  <si>
    <t>2x6" Exterior Stud Wall (15'-5"H)</t>
  </si>
  <si>
    <t xml:space="preserve">2x6" DF#2 Exterior Stud Wall @16" O.C (16'-0"H,25 EA)
-W/ 6"  BDL Top &amp; Bottom Plate </t>
  </si>
  <si>
    <t>2x6" Interior Stud Wall (12'-0"H)</t>
  </si>
  <si>
    <t xml:space="preserve">2x6" DF#2 Interior Stud Wall @16" O.C (12'-0"H, 7 EA)
-W/ 6"  BDL Top &amp; Bottom Plate </t>
  </si>
  <si>
    <t>2x6" Interior Stud Wall (12'-8"H)</t>
  </si>
  <si>
    <t xml:space="preserve">2x6" DF#2 Interior Stud Wall @16" O.C (14'-0"H, 6 EA)
-W/ 6"  BDL Top &amp; Bottom Plate </t>
  </si>
  <si>
    <t>2x6" Interior Stud Wall (13'-8"H)</t>
  </si>
  <si>
    <t xml:space="preserve">2x6" DF#2 Interior Stud Wall @16" O.C (14'-0"H, 7 EA)
-W/ 6"  BDL Top &amp; Bottom Plate </t>
  </si>
  <si>
    <t>2x6" Interior Stud Wall (8'-0"H)</t>
  </si>
  <si>
    <t xml:space="preserve">2x6" DF#2 Interior Stud Wall @16" O.C (8'-0"H, 18 EA)
-W/ 6"  BDL Top &amp; Bottom Plate </t>
  </si>
  <si>
    <t xml:space="preserve">2x6" DF#2 Interior Stud Wall @16" O.C (8'-0"H, 22 EA)
-W/ 6"  BDL Top &amp; Bottom Plate </t>
  </si>
  <si>
    <t>2x6" Interior Stud Wall (12'-5"H)</t>
  </si>
  <si>
    <t xml:space="preserve">2x6" DF#2 Interior Stud Wall @16" O.C (14'-0"H, 27 EA)
-W/ 6"  BDL Top &amp; Bottom Plate </t>
  </si>
  <si>
    <t>2x6" Interior Stud Wall (4'-5"H)</t>
  </si>
  <si>
    <t xml:space="preserve">2x6" DF#2 Interior Stud Wall @16" O.C (6'-0"H, 22 EA)
-W/ 6"  BDL Top &amp; Bottom Plate </t>
  </si>
  <si>
    <t>2x6" Interior Stud Wall (13'-6"H)</t>
  </si>
  <si>
    <t xml:space="preserve">2x6" DF#2 Interior Stud Wall @16" O.C (14'-0"H, 11 EA)
-W/ 6"  BDL Top &amp; Bottom Plate </t>
  </si>
  <si>
    <t>2x6" Interior Stud Wall (13'-3"H) Avg</t>
  </si>
  <si>
    <t>2x6" Interior Stud Wall (11'-6"H) Avg</t>
  </si>
  <si>
    <t xml:space="preserve">2x6" Interior Stud Wall (13'-3"H) </t>
  </si>
  <si>
    <t>2x4" Ceiling Soffit Framing (2'-0"H)</t>
  </si>
  <si>
    <t>2x4" Stud Fire Sprinkler Soffit Framing (2'H,138 EA)
-W/ 4" Top &amp; Bottom Plat</t>
  </si>
  <si>
    <t>2x4" Stud  MEP Soffit Framing (2'H, 138 EA)
-W/4" Top &amp; Bottom</t>
  </si>
  <si>
    <t>5/8" Gypsum Board @ Soffit</t>
  </si>
  <si>
    <t>Ceiling</t>
  </si>
  <si>
    <t>A3.2-A3.1</t>
  </si>
  <si>
    <t>5/8" Gypsum Board Ceiling</t>
  </si>
  <si>
    <t>5/8" MR Gypsum Board Ceiling</t>
  </si>
  <si>
    <t xml:space="preserve">W12: Wood Ceiling </t>
  </si>
  <si>
    <t xml:space="preserve">W11: Wood Ceiling </t>
  </si>
  <si>
    <t>1/2" Backer Board Under Wall Tile</t>
  </si>
  <si>
    <t>A3.1-A3.2</t>
  </si>
  <si>
    <t>Exterior Handrail</t>
  </si>
  <si>
    <t>Metal Roof Paint</t>
  </si>
  <si>
    <t>Trim Paint</t>
  </si>
  <si>
    <t>Window Trim Paint</t>
  </si>
  <si>
    <t>Door Trim Paint</t>
  </si>
  <si>
    <t>Door Paint</t>
  </si>
  <si>
    <t>Wall Paint</t>
  </si>
  <si>
    <t xml:space="preserve">Wall Paint </t>
  </si>
  <si>
    <t>Ceiling Paint</t>
  </si>
  <si>
    <t>A4.1</t>
  </si>
  <si>
    <t>A5.1 - A5.2</t>
  </si>
  <si>
    <t>A3.1 - A3.2</t>
  </si>
  <si>
    <t>8" Exterior Battens</t>
  </si>
  <si>
    <t>Tyvek Paper Weather Barrier for Wall</t>
  </si>
  <si>
    <t>(3'-0"x7'-6") Ext Solid Wood Door W/ Aluminum Frame W/(2'-4"x3'-8") Tempered Glass
MFG : T.M. COBB
MDL: #4382 Or Arch Approved</t>
  </si>
  <si>
    <t>(3'-0"x7'-6") Int Solid Wood Door W/ Wood Frame W/(1'-10"x6'-1") Tempered Glass
MFG : T.M. COBB
MDL: #1505 Or Arch Approved</t>
  </si>
  <si>
    <t>Window Flashing &amp; Sealant</t>
  </si>
  <si>
    <t>All Hardwares To Be Determined By Owner . Exact Model and Lever Style T.B.D.Provide Finish
Samples For Architects &amp; Owner's Approval Provide Allowance</t>
  </si>
  <si>
    <t>Acoustical Sealant</t>
  </si>
  <si>
    <t>24"x24" Ceramic Field Tile Floor, Set in Mortar Bed
- 1/8" Grout Joints to Maintain Alignment, Sealed</t>
  </si>
  <si>
    <t>(3'-0"H) Ceramic Wall Tile, 4x4 Field Tiles, Thin set
1/4" Grout Joints&lt; Sealed</t>
  </si>
  <si>
    <t>12"x12" Vinyl Composition Tile</t>
  </si>
  <si>
    <t>5'-0" Deep Roof Soffit Paint</t>
  </si>
  <si>
    <t>4'-0" Deep Roof Soffit Paint</t>
  </si>
  <si>
    <t>3'-0" Deep Roof Soffit Paint</t>
  </si>
  <si>
    <t>Diabled Access Combination 
Dispenser/ Disposal Receptacle</t>
  </si>
  <si>
    <t>Soap Dispenser 
Supplied: Contractor
MFG: TBD</t>
  </si>
  <si>
    <t>Under Cabinet Refrigerator</t>
  </si>
  <si>
    <t>(1'-6"D) Storage Cabins</t>
  </si>
  <si>
    <t>(2'-0"x3'-0") Coffee Service Base Cabinets For Refrigerator</t>
  </si>
  <si>
    <t>(2'-0"D) Granite Countertop</t>
  </si>
  <si>
    <t>(2'-6"D) Granite Countertop</t>
  </si>
  <si>
    <t>(3'-0"D) Granite Countertop</t>
  </si>
  <si>
    <t>(4'-6"D) Granite Countertop</t>
  </si>
  <si>
    <t>(5'-3"D) Granite Countertop</t>
  </si>
  <si>
    <t>(2'-0"x3'-0") Reception Desk</t>
  </si>
  <si>
    <t>(2'-4"x3'-0") Reception Desk</t>
  </si>
  <si>
    <t>Elevator for 2 Story Commercial Building</t>
  </si>
  <si>
    <t>2x6 Sill Plate w/ 3 1/2" x 8" Anchor Bolts</t>
  </si>
  <si>
    <t>Labor Roof Framing - 3x8 Roof Rafters @ Equal Spacing 
3x8 DF-L Roof Rafters - 18' (12 EA)</t>
  </si>
  <si>
    <t>California Poppy, Perennials</t>
  </si>
  <si>
    <t>Columbine Perennials</t>
  </si>
  <si>
    <t>4'-3" Deep Drain Rock and Backfill Gravel Fill for Storm Chambers</t>
  </si>
  <si>
    <t>9'-8" Deep Drain Rock and Backfill Gravel Fill for Storm Chambers</t>
  </si>
  <si>
    <t>6x12 #1 DF-L S4S Beam, Painted</t>
  </si>
  <si>
    <t>6x10 #1 DF-L S4S Beam, Painted</t>
  </si>
  <si>
    <t>6x14 #1 DF-L S4S Beam, Painted</t>
  </si>
  <si>
    <t>4x6 #2 DF-L S4S - 5'-0"L Kickers, Painted</t>
  </si>
  <si>
    <t>A9</t>
  </si>
  <si>
    <t>Gutter End Caps</t>
  </si>
  <si>
    <t>Gutter Joiners (16' o.c.)</t>
  </si>
  <si>
    <t>Gutter Hangers (18" o.c.)</t>
  </si>
  <si>
    <t>Gutter Dropout</t>
  </si>
  <si>
    <t>Splash Block</t>
  </si>
  <si>
    <t>Downspout Kickout</t>
  </si>
  <si>
    <t>Downspout Straps (36" o.c.)</t>
  </si>
  <si>
    <t>Metal Down Spout Painted</t>
  </si>
  <si>
    <t>Gutter inside Mitter</t>
  </si>
  <si>
    <t>Gutter outside Corner</t>
  </si>
  <si>
    <t>Gutter Splash Block</t>
  </si>
  <si>
    <t>BEAM CAPS</t>
  </si>
  <si>
    <t>24 GA G90 Bonderized Sheet Metal Beam Caps w/ Lapped and Soldered Corners set in Full Mastic for Exterior Finish, Painted
(3/8" Bend Down Edges)</t>
  </si>
  <si>
    <t>2x14 DF #1 Wood Fascia</t>
  </si>
  <si>
    <t>Exterior Paint</t>
  </si>
  <si>
    <t xml:space="preserve">2x6" DF#2 Interior Stud Wall @16" O.C (12'H, 4 EA)
-W/ 6"  BDL Top &amp; Bottom Plate </t>
  </si>
  <si>
    <t xml:space="preserve">2x6" DF#2 Exterior Stud Wall @16" O.C (12'-0"H,25 EA)
-W/ 6"  BDL Top &amp; Bottom Plate </t>
  </si>
  <si>
    <t xml:space="preserve">2x6" DF#2 Interior Stud Wall @16" O.C (12'-0"H, 11 EA)
-W/ 6"  BDL Top &amp; Bottom Plate </t>
  </si>
  <si>
    <t>4'x12'x5/8" MR  Gypsum Board Sheets</t>
  </si>
  <si>
    <t>3'x5'x1/2" Backer Board Under Wall Tile</t>
  </si>
  <si>
    <t>SPRINKLER PIPING</t>
  </si>
  <si>
    <r>
      <t xml:space="preserve">PIPES W/ SUPPORTS - ABOVE GRADE </t>
    </r>
    <r>
      <rPr>
        <b/>
        <u/>
        <sz val="11"/>
        <color rgb="FFFF0000"/>
        <rFont val="Calibri"/>
        <family val="2"/>
        <scheme val="minor"/>
      </rPr>
      <t>(CARBON STEEL - ASSUMED)</t>
    </r>
  </si>
  <si>
    <t>1" FIRE SUPPRESSION PIPE</t>
  </si>
  <si>
    <t>1-1/2" FIRE SUPPRESSION PIPE</t>
  </si>
  <si>
    <t>2" FIRE SUPPRESSION PIPE</t>
  </si>
  <si>
    <t>3" FIRE SUPPRESSION PIPE</t>
  </si>
  <si>
    <t>4" FIRE SUPPRESSION PIPE</t>
  </si>
  <si>
    <t>FITTINGS</t>
  </si>
  <si>
    <t>1" ELBOW 45 DEG</t>
  </si>
  <si>
    <t>1-1/2" ELBOW 45 DEG</t>
  </si>
  <si>
    <t>1" ELBOW 90 DEG</t>
  </si>
  <si>
    <t>1-1/2" ELBOW 90 DEG</t>
  </si>
  <si>
    <t>2" ELBOW 90 DEG</t>
  </si>
  <si>
    <t>3" ELBOW 90 DEG</t>
  </si>
  <si>
    <t>4" ELBOW 90 DEG</t>
  </si>
  <si>
    <t>1" TEE</t>
  </si>
  <si>
    <t>1-1/2" TEE</t>
  </si>
  <si>
    <t>1-1/2" X 1" TEE</t>
  </si>
  <si>
    <t>3" TEE</t>
  </si>
  <si>
    <t>3" X 1" TEE</t>
  </si>
  <si>
    <t>3" X 1-1/2" TEE</t>
  </si>
  <si>
    <t>3" X 4" TEE</t>
  </si>
  <si>
    <t>4" X 2" TEE</t>
  </si>
  <si>
    <t>4" X 3" TEE</t>
  </si>
  <si>
    <t>1-1/2" END CAP</t>
  </si>
  <si>
    <t>3" END CAP</t>
  </si>
  <si>
    <t>4" FLEXIBLE COUPLING</t>
  </si>
  <si>
    <t>4" X 3" REDUCER</t>
  </si>
  <si>
    <t>VALVES &amp; DEVICES</t>
  </si>
  <si>
    <t>3" CHECK VALVE</t>
  </si>
  <si>
    <t>4" PRESSURE GAUGE</t>
  </si>
  <si>
    <t>4" WATER FLOW DETECTOR</t>
  </si>
  <si>
    <t>4 X 2.5" X 2.5" SIAMESE FDC</t>
  </si>
  <si>
    <t>10" ELECTRIC BELL</t>
  </si>
  <si>
    <t>FIXTURES</t>
  </si>
  <si>
    <t>SPRINKLER HEAD, MANUFACTURER: REILABLE, MODEL NO: F3QR56, TYPE: PENDENT</t>
  </si>
  <si>
    <t>SPRINKLER HEAD, MANUFACTURER: REILABLE, MODEL NO: F1FR56, TYPE: PENDENT</t>
  </si>
  <si>
    <t>MISC.</t>
  </si>
  <si>
    <t>HANGER</t>
  </si>
  <si>
    <t>3/8" THREADED ROD</t>
  </si>
  <si>
    <t>NOTES</t>
  </si>
  <si>
    <t>Z, FIRE SPRINKLERS, SOLAR PANELS AND FUTURE KITCHEN TENANT IMPROVEMENT ARE TO BE COMPLETED UNDER SEPRATE PERMIT.</t>
  </si>
  <si>
    <t>DOMESTIC WATER PIPING</t>
  </si>
  <si>
    <r>
      <t xml:space="preserve">PIPES W/ SUPPORTS &amp; INSULATION  </t>
    </r>
    <r>
      <rPr>
        <b/>
        <u/>
        <sz val="11"/>
        <color rgb="FFFF0000"/>
        <rFont val="Calibri"/>
        <family val="2"/>
        <scheme val="minor"/>
      </rPr>
      <t>(TYPE "L" COPPER PIPE)</t>
    </r>
  </si>
  <si>
    <t>1/2" COLD WATER PIPE</t>
  </si>
  <si>
    <t>3/4" COLD WATER PIPE</t>
  </si>
  <si>
    <t>1" COLD WATER PIPE</t>
  </si>
  <si>
    <t>1-1/4" COLD WATER PIPE</t>
  </si>
  <si>
    <t>1-1/2" COLD WATER PIPE</t>
  </si>
  <si>
    <t xml:space="preserve">2" COLD WATER PIPE </t>
  </si>
  <si>
    <t>1/2" HOT WATER PIPE</t>
  </si>
  <si>
    <t xml:space="preserve">3/4" HOT WATER PIPE </t>
  </si>
  <si>
    <t>1" HOT WATER PIPE</t>
  </si>
  <si>
    <t>1-1/4" HOT WATER PIPE</t>
  </si>
  <si>
    <t>1-1/2" HOT WATER PIPE</t>
  </si>
  <si>
    <t xml:space="preserve">3/4" HOT WATER RETURN PIPE </t>
  </si>
  <si>
    <r>
      <t xml:space="preserve">FITTINGS </t>
    </r>
    <r>
      <rPr>
        <b/>
        <u/>
        <sz val="11"/>
        <color rgb="FFFF0000"/>
        <rFont val="Calibri"/>
        <family val="2"/>
        <scheme val="minor"/>
      </rPr>
      <t xml:space="preserve">(WROUGHT COPPER) </t>
    </r>
  </si>
  <si>
    <t>ELBOW 90 DEG - 1/2"</t>
  </si>
  <si>
    <t xml:space="preserve">ELBOW 90 DEG - 3/4" </t>
  </si>
  <si>
    <t>ELBOW 90 DEG - 1"</t>
  </si>
  <si>
    <t>ELBOW 90 DEG - 1-1/4"</t>
  </si>
  <si>
    <t>ELBOW 90 DEG - 1-1/2"</t>
  </si>
  <si>
    <t xml:space="preserve">REDUCER 3/4" - 1/2" </t>
  </si>
  <si>
    <t>REDUCER 1" - 1/2"</t>
  </si>
  <si>
    <t xml:space="preserve">REDUCER 1-1/2" -1" </t>
  </si>
  <si>
    <t xml:space="preserve">REDUCER 1-1/4" - 3/4" </t>
  </si>
  <si>
    <t>REDUCER 1-1/2" -1-1/4"</t>
  </si>
  <si>
    <t xml:space="preserve">REDUCER 2" - 1-1/2" </t>
  </si>
  <si>
    <t>TEE 1/2"</t>
  </si>
  <si>
    <t xml:space="preserve">TEE 3/4" </t>
  </si>
  <si>
    <t xml:space="preserve">TEE 3/4" - 1/2" </t>
  </si>
  <si>
    <t>TEE 3/4" - 3/4" - 1/2"</t>
  </si>
  <si>
    <t>TEE 3/4" - 1-1/2" - 1"</t>
  </si>
  <si>
    <t xml:space="preserve">TEE 1" - 1/2" </t>
  </si>
  <si>
    <t>TEE 1" - 3/4"</t>
  </si>
  <si>
    <t xml:space="preserve">TEE 1" - 3/4" - 3/4" </t>
  </si>
  <si>
    <t>TEE 1" - 1" - 1/2"</t>
  </si>
  <si>
    <t xml:space="preserve">TEE 1-1/4" - 3/4" </t>
  </si>
  <si>
    <t xml:space="preserve">TEE 1-1/4" - 3/4" - 1/2" </t>
  </si>
  <si>
    <t>TEE 1-1/4" - 1</t>
  </si>
  <si>
    <t xml:space="preserve">TEE 1-1/2" </t>
  </si>
  <si>
    <t xml:space="preserve">TEE 1-1/2" - 1" </t>
  </si>
  <si>
    <t xml:space="preserve">TEE 2" - 3/4" </t>
  </si>
  <si>
    <t>3/4" GATE VALVE</t>
  </si>
  <si>
    <t>1" GATE VALVE</t>
  </si>
  <si>
    <t>1-1/2" GATE VALVE</t>
  </si>
  <si>
    <t xml:space="preserve">3/4" SHUTOFF VALVE </t>
  </si>
  <si>
    <t>1" SHUTOFF VALVE</t>
  </si>
  <si>
    <t xml:space="preserve">1-1/2" SHUTOFF VALVE </t>
  </si>
  <si>
    <t xml:space="preserve">2" SHUTOFF VALVE </t>
  </si>
  <si>
    <t>2" BACKFLOW PREVENTER</t>
  </si>
  <si>
    <t>2" PRESSURE REDUCING VALVE</t>
  </si>
  <si>
    <t>WASHER BOX W/ SHOCK ARRESTING CHAMBER (FULL SIZE)</t>
  </si>
  <si>
    <t>SANITARY SEWER / VENT PIPING</t>
  </si>
  <si>
    <r>
      <t xml:space="preserve">PIPES W/ SUPPORTS - </t>
    </r>
    <r>
      <rPr>
        <b/>
        <u/>
        <sz val="11"/>
        <color rgb="FFFF0000"/>
        <rFont val="Calibri"/>
        <family val="2"/>
        <scheme val="minor"/>
      </rPr>
      <t>(DWV SCHEDULE 40 PVC)</t>
    </r>
  </si>
  <si>
    <t>1-1/4" WASTE PIPE</t>
  </si>
  <si>
    <t>2" WASTE PIPE</t>
  </si>
  <si>
    <t>3" WASTE PIPE</t>
  </si>
  <si>
    <t>3" G WASTE PIPE</t>
  </si>
  <si>
    <t>4" WASTE PIPE</t>
  </si>
  <si>
    <t>5" WASTE PIPE</t>
  </si>
  <si>
    <t>6" WASTE PIPE</t>
  </si>
  <si>
    <t xml:space="preserve">8" WASTE PIPE </t>
  </si>
  <si>
    <t>1-1/2" VENT PIPE</t>
  </si>
  <si>
    <t>2" VENT PIPE</t>
  </si>
  <si>
    <t xml:space="preserve">3" VENT PIPE </t>
  </si>
  <si>
    <t>4" VENT PIPE</t>
  </si>
  <si>
    <t>6" VENT PIPE</t>
  </si>
  <si>
    <t>8" VENT PIPE</t>
  </si>
  <si>
    <t xml:space="preserve">FITTINGS </t>
  </si>
  <si>
    <t>ELBOW 45 DEG - 1-1/4"</t>
  </si>
  <si>
    <t>ELBOW 45 DEG - 2"</t>
  </si>
  <si>
    <t>ELBOW 45 DEG - 3"</t>
  </si>
  <si>
    <t>ELBOW 45 DEG - 4"</t>
  </si>
  <si>
    <t>ELBOW 45 DEG - 8"</t>
  </si>
  <si>
    <t>ELBOW 90 DEG - 2"</t>
  </si>
  <si>
    <t>ELBOW 90 DEG - 3"</t>
  </si>
  <si>
    <t>ELBOW 90 DEG - 4"</t>
  </si>
  <si>
    <t>ELBOW 90 DEG - 8"</t>
  </si>
  <si>
    <t>REDUCER 2" - 1-1/4"</t>
  </si>
  <si>
    <t>REDUCER 3" - 2"</t>
  </si>
  <si>
    <t>REDUCER 5" - 4"</t>
  </si>
  <si>
    <t>REDUCER 6" - 4"</t>
  </si>
  <si>
    <t>REDUCER 6" - 5"</t>
  </si>
  <si>
    <t xml:space="preserve">REDUCER 8" - 6" </t>
  </si>
  <si>
    <t xml:space="preserve">TEE 2" </t>
  </si>
  <si>
    <t>TEE 2" - 1-1/2"</t>
  </si>
  <si>
    <t xml:space="preserve">TEE 2" - 2" - 1-1/2" </t>
  </si>
  <si>
    <t>TEE 3"</t>
  </si>
  <si>
    <t>TEE 4"</t>
  </si>
  <si>
    <t>TEE 8"</t>
  </si>
  <si>
    <t>TEE 8" - 2"</t>
  </si>
  <si>
    <t>WYE 1-1/4" - 2" - 2"</t>
  </si>
  <si>
    <t>WYE 2"</t>
  </si>
  <si>
    <t>WYE 3"</t>
  </si>
  <si>
    <t>WYE 3" - 1-1/4"</t>
  </si>
  <si>
    <t>WYE 3" - 2" - 2"</t>
  </si>
  <si>
    <t>WYE 3" - 3" - 1-1/4"</t>
  </si>
  <si>
    <t>WYE 3"- 2"</t>
  </si>
  <si>
    <t>WYE 4"</t>
  </si>
  <si>
    <t>WYE 5"-4"</t>
  </si>
  <si>
    <t>WYE 6"-4"</t>
  </si>
  <si>
    <t>WYE 8"</t>
  </si>
  <si>
    <t>WYE 8"-2"</t>
  </si>
  <si>
    <t>WYE 8"-3"</t>
  </si>
  <si>
    <t>WYE 8"-3"-3"</t>
  </si>
  <si>
    <t>WYE 8"-4"</t>
  </si>
  <si>
    <t>WYE COMBINATION 2" - 1-1/4"</t>
  </si>
  <si>
    <t>WYE COMBINATION 2" - 2" - 1-1/2"</t>
  </si>
  <si>
    <t>WYE COMBINATION 3"</t>
  </si>
  <si>
    <t>WYE COMBINATION 3"- 2"</t>
  </si>
  <si>
    <t>WYE COMBINATION 8"-3"</t>
  </si>
  <si>
    <t>CONDENSATE PIPING</t>
  </si>
  <si>
    <r>
      <t xml:space="preserve">PIPES W/ SUPPORTS - </t>
    </r>
    <r>
      <rPr>
        <b/>
        <u/>
        <sz val="11"/>
        <color rgb="FFFF0000"/>
        <rFont val="Calibri"/>
        <family val="2"/>
        <scheme val="minor"/>
      </rPr>
      <t>(TYPE "M" COPPER PIPE)</t>
    </r>
  </si>
  <si>
    <t xml:space="preserve">3/4" CONDENSATE PIPE </t>
  </si>
  <si>
    <t xml:space="preserve">ELBOW 90 DEG  - 3/4" </t>
  </si>
  <si>
    <t>DEVICES</t>
  </si>
  <si>
    <t>VENT THRU ROOF - 2"</t>
  </si>
  <si>
    <t>VENT THRU ROOF - 3"</t>
  </si>
  <si>
    <t>FLUE VENT THRU ROOF - 4"</t>
  </si>
  <si>
    <t>VENT THRU ROOF - 8"</t>
  </si>
  <si>
    <t>3 SETS OF VANDAL PROOF SET SCREWS</t>
  </si>
  <si>
    <t>ROOF MASTICOR SEALANT AROUND SLEEVE</t>
  </si>
  <si>
    <t xml:space="preserve">PERMASEAL WATER PROOFING COMPOUND AND COUNTER FLASHING SLEEVE </t>
  </si>
  <si>
    <t xml:space="preserve">STONEMAN 1100, SEAMLESS LEAD FLASHING OVER STEEL REINFORCED BOOT AND 1540 OPEN TOP COUNTER FLASHING </t>
  </si>
  <si>
    <r>
      <t xml:space="preserve">40MM LINT INTERCEPTOR - </t>
    </r>
    <r>
      <rPr>
        <sz val="11"/>
        <color rgb="FFFF0000"/>
        <rFont val="Calibri"/>
        <family val="2"/>
        <scheme val="minor"/>
      </rPr>
      <t xml:space="preserve">(SIZE ASSUMED) </t>
    </r>
  </si>
  <si>
    <t>TRENCH DRAIN</t>
  </si>
  <si>
    <t>GAS PIPING</t>
  </si>
  <si>
    <r>
      <t xml:space="preserve">PIPES W/ SUPPORTS - </t>
    </r>
    <r>
      <rPr>
        <b/>
        <u/>
        <sz val="11"/>
        <color rgb="FFFF0000"/>
        <rFont val="Calibri"/>
        <family val="2"/>
        <scheme val="minor"/>
      </rPr>
      <t>(SCHEDULE 40 PVC) / (POLYTHYLENE PLASTIC NFPA54)</t>
    </r>
  </si>
  <si>
    <t>1/2" GAS PIPE</t>
  </si>
  <si>
    <t xml:space="preserve">3/4" GAS PIPE </t>
  </si>
  <si>
    <t xml:space="preserve">1" GAS PIPE </t>
  </si>
  <si>
    <t>1-1/4" GAS PIPE</t>
  </si>
  <si>
    <t>1-1/2" GAS PIPE</t>
  </si>
  <si>
    <t>2" GAS PIPE</t>
  </si>
  <si>
    <t>3" GAS PIPE</t>
  </si>
  <si>
    <r>
      <t xml:space="preserve">3" GAS PIPE </t>
    </r>
    <r>
      <rPr>
        <sz val="11"/>
        <color rgb="FFFF0000"/>
        <rFont val="Calibri"/>
        <family val="2"/>
        <scheme val="minor"/>
      </rPr>
      <t>(POLYTHYLENE PLASTIC NFPA54)</t>
    </r>
  </si>
  <si>
    <t>ELBOW 90 DEG - 3/4"</t>
  </si>
  <si>
    <t xml:space="preserve">ELBOW 90 DEG - 3" </t>
  </si>
  <si>
    <r>
      <t>BG - ELBOW 90 DEG - 3"</t>
    </r>
    <r>
      <rPr>
        <sz val="11"/>
        <color rgb="FFFF0000"/>
        <rFont val="Calibri"/>
        <family val="2"/>
        <scheme val="minor"/>
      </rPr>
      <t xml:space="preserve"> (POLYTHYLENE PLASTIC NFPA54)</t>
    </r>
  </si>
  <si>
    <t>REDUCER 1-1/4" - 3/4"</t>
  </si>
  <si>
    <t>REDUCER 1-1/2" - 1-1/4"</t>
  </si>
  <si>
    <t xml:space="preserve">REDUCER 2" -1" </t>
  </si>
  <si>
    <t>TEE 1-1/2" - 1-1/4"</t>
  </si>
  <si>
    <t>TEE 2"</t>
  </si>
  <si>
    <t xml:space="preserve">TEE 2" - 1-1/4" </t>
  </si>
  <si>
    <t xml:space="preserve">TEE 3" </t>
  </si>
  <si>
    <t>TEE 3" - 1/2"</t>
  </si>
  <si>
    <t xml:space="preserve">TEE 3" - 3/4" </t>
  </si>
  <si>
    <t xml:space="preserve">TEE 3" - 1-1/4" </t>
  </si>
  <si>
    <t xml:space="preserve">TEE 3" - 2" </t>
  </si>
  <si>
    <t xml:space="preserve">TEE 3" X 2" X 2" </t>
  </si>
  <si>
    <t>STOPPER - 3"</t>
  </si>
  <si>
    <t>3" SHUTOFF VALVE</t>
  </si>
  <si>
    <t>3/4" GAS COCK</t>
  </si>
  <si>
    <t>1-1/4" GAS COCK</t>
  </si>
  <si>
    <t xml:space="preserve">1-1/2" GAS COCK </t>
  </si>
  <si>
    <t>2" GAS COCK</t>
  </si>
  <si>
    <t>3" GAS COCK</t>
  </si>
  <si>
    <t>3/4" HB-1, HOSE BIBB, ZURN 195XL WITH VACUUM BREAKER.</t>
  </si>
  <si>
    <t>1-1/4" FLOOR CLEANOUT</t>
  </si>
  <si>
    <t>3" FLOOR CLEANOUT</t>
  </si>
  <si>
    <t>4" FLOOR CLEANOUT</t>
  </si>
  <si>
    <t>8" FLOOR CLEANOUT</t>
  </si>
  <si>
    <t>2" FLOOR CLEANOUT
W/ 
1. J.R. SMITH #4281 BRASS CLEANOUT PLUG 
2. COUNTER - SUNK HEAD</t>
  </si>
  <si>
    <t>2" FD-1, FLOOR DRAIN, ZURN Z415B OR EQUAL FLOOR DRAIN. 
W/ 
1. PRESSURE SENSITIVE TRAP PRIMER
2. WATER DISTRIBUTION DEVICE (2 OUTLETS)</t>
  </si>
  <si>
    <t>1-1/4" LAVATORY, AMERICAN STANDARD TOWN SQUARE S COUNTER ADA COMPLIANCE SINK WIKS-1TH FAUCETS FLOW RATE 0.4 GPM MAX. @60 PSI.</t>
  </si>
  <si>
    <t>ET-1: EXPANSION TANK-1, MFG: AM TROL, MODEL: THERM-X-TROL ST-12</t>
  </si>
  <si>
    <t>ET-2: EXPANSION TANK-2, MFG: AM TROL, MODEL: THERM-X-TROL ST-12</t>
  </si>
  <si>
    <t>ET-3: EXPANSION TANK-3, MFG: AM TROL, MODEL: THERM-X-TROL ST-5</t>
  </si>
  <si>
    <t>CP-1: RECIRCULATION PUMP</t>
  </si>
  <si>
    <t xml:space="preserve">2" HS-1, HAND SINK, HAND SINK WITH HIGH EFFICIENCY LAVATORY FAUCET, MAX. FLOW OF 1.5 GPM @ 60 PSI AND LESS THAN 0.8 GPM @20 PSI. </t>
  </si>
  <si>
    <t>3" WATER CLOSET (FT), AMERICAN STANDARD VORMAX UHET RIGHT HEIGHT ELONGATED ADA COMPLIANCE TOILET, 1.0 GPF MAX.</t>
  </si>
  <si>
    <t>GI-1: GREASE INTERCEPTOR-1,  MFG: OLDCASTLE, MODEL: GI-750, H-20 TRAFFIC-RATED W/ (2) 24" CAST IRON MANHOLES. FIELD VERIFY EXACT LOCATION AND ROUTING. PROVIDE RISERS AS REQUIRED.</t>
  </si>
  <si>
    <t>GI-2: GREASE INTERCEPTOR-2,  MFG: OLDCASTLE, MODEL: GI-750, H-20 TRAFFIC-RATED W/ (2) 24" CAST IRON MANHOLES. FIELD VERIFY EXACT LOCATION AND ROUTING. PROVIDE RISERS AS REQUIRED.</t>
  </si>
  <si>
    <t>WH-1: WATER HEATER-1 , MFG: RA. O. SMITH, MODEL:BTHS-750A
NOTES: 
1. PROVIDE CONDENSATE NEUTRALIZATION KIT.
2. LEAK DETECTION KIT.</t>
  </si>
  <si>
    <t>WH-2: WATER HEATER-2, MFG: PUBLIC LAUNDRY, MODEL:BTHS-750A, LEAK DETECTION KIT.
NOTES:
1. PROVIDE CONDENSATE NEUTRALIZATION KIT.
2. LEAK DETECTION KIT.</t>
  </si>
  <si>
    <t>WH-3: WATER HEATER-3, MFG:COMMON AREA, MODEL:A. O. SMITH, PROVIDE PIPE COVER, NEUTRLIZATION KIT, ISOLATION VALVE KITS, CONCENTRATION TERMINATION.
NOTE:
1. PROVIDE PIPE COVER, NEUTRLIZATION KIT, ISOLATION VALVE KITS, CONCENTRATION TERMINATION.</t>
  </si>
  <si>
    <t>PGT-1: PROPANE GAS TANK-1, MFG:PROPAR, MODEL:2000 USWG
NOTES:  
1. TANKS TO EQUIPPED WITH REG O VALVES AND ROCHESTER GAUGES.
2. VACUUM PURGED.
3. DURABLE STEEL CONSTRUCTION INCLUDING DOME. 
4. FORGED LIFTING LUGS. 
5.DESIGN AND CONSTRUCTED IN ACCORDANCE WITH THE ASME.
6.COMPLIANCE WITH NFPA 58. 
7. REGISTERED WITH NATIONAL BOARD OF BOILER AND PRESSURE VASSELLS. 
8. TANKS SHALL BE UNDRGROUND TYPE.
9. INSTALL PER MANUFACTURER'S RECOMMENDATIONS AND ACСЕРТАВ Е TO THE AHJ.</t>
  </si>
  <si>
    <t>2" W/D-2, CLOTHES WASHER, MAKE AND MODEL TBD BY ARCHITECT/ OWNER.</t>
  </si>
  <si>
    <t>4" W/D-1, CLOTHES WASHER, MAKE AND MODEL TBD BY ARCHITECT/ OWNER.</t>
  </si>
  <si>
    <t>MISCELLANEOUS</t>
  </si>
  <si>
    <t>TOP BEAM C-CLAMP</t>
  </si>
  <si>
    <t>STAINLESS STEEL THREADED ROD</t>
  </si>
  <si>
    <t>STAINLESS STEEL PIPE RING CLAMP</t>
  </si>
  <si>
    <t>TRENCHING &amp; BACKFILLING (240X1.5X1.5)</t>
  </si>
  <si>
    <t>DUCTING</t>
  </si>
  <si>
    <t>ROUND DUCTS W/ SUPPORTS</t>
  </si>
  <si>
    <t>4" DIA ROUND DUCT (1" THICK, FIBERGLASS WRAP INSULATION W/ 1-1/2 LB DENSITY &amp; 'R' VALUE OF 8.)</t>
  </si>
  <si>
    <t>6" DIA EXHAUST AIR DUCT</t>
  </si>
  <si>
    <t>6" DIA ROUND DUCT (1" THICK, FIBERGLASS WRAP INSULATION W/ 1-1/2 LB DENSITY &amp; 'R' VALUE OF 8.)</t>
  </si>
  <si>
    <t>8" DIA ROUND DUCT (1" THICK, FIBERGLASS WRAP INSULATION W/ 1-1/2 LB DENSITY &amp; 'R' VALUE OF 8.)</t>
  </si>
  <si>
    <t>10" DIA ROUND DUCT (1" THICK, FIBERGLASS WRAP INSULATION W/ 1-1/2 LB DENSITY &amp; 'R' VALUE OF 8.)</t>
  </si>
  <si>
    <t>12" DIA ROUND DUCT (1" THICK, FIBERGLASS WRAP INSULATION W/ 1-1/2 LB DENSITY &amp; 'R' VALUE OF 8.)</t>
  </si>
  <si>
    <t xml:space="preserve">14" DIA EXHAUST AIR DUCT </t>
  </si>
  <si>
    <t>14" DIA ROUND DUCT (1" THICK, FIBERGLASS WRAP INSULATION W/ 1-1/2 LB DENSITY &amp; 'R' VALUE OF 8.)</t>
  </si>
  <si>
    <t>16" DIA EXHAUST AIR DUCT</t>
  </si>
  <si>
    <t>16" DIA ROUND DUCT (1" THICK, FIBERGLASS WRAP INSULATION W/ 1-1/2 LB DENSITY &amp; 'R' VALUE OF 8.)</t>
  </si>
  <si>
    <t>18" DIA ROUND DUCT (1" THICK, FIBERGLASS WRAP INSULATION W/ 1-1/2 LB DENSITY &amp; 'R' VALUE OF 8.)</t>
  </si>
  <si>
    <t>20" DIA ROUND DUCT (1" THICK, FIBERGLASS WRAP INSULATION W/ 1-1/2 LB DENSITY &amp; 'R' VALUE OF 8.)</t>
  </si>
  <si>
    <t>ROUND DUCT FITTINGS, DAMPERS &amp; DEVICES</t>
  </si>
  <si>
    <t>4" DIA ROUND DUCT ELBOW</t>
  </si>
  <si>
    <t>8" DIA ROUND DUCT ELBOW</t>
  </si>
  <si>
    <t>14" DIA EXHAUST AIR DUCT ELBOW</t>
  </si>
  <si>
    <t>14" DIA ROUND DUCT ELBOW</t>
  </si>
  <si>
    <t>16" DIA EXHAUST AIR DUCT ELBOW</t>
  </si>
  <si>
    <t>16" DIA ROUND DUCT ELBOW</t>
  </si>
  <si>
    <t>18" DIA ROUND DUCT ELBOW</t>
  </si>
  <si>
    <t>20" DIA ROUND DUCT ELBOW</t>
  </si>
  <si>
    <t>10" DIA TO 8" DIA ROUND DUCT TEE</t>
  </si>
  <si>
    <t>12" DIA TO 6" DIA ROUND DUCT TEE</t>
  </si>
  <si>
    <t>14" DIA ROUND DUCT TEE</t>
  </si>
  <si>
    <t>18" DIA TO 8" DIA ROUND DUCT TEE</t>
  </si>
  <si>
    <t>18" DIA TO 10" DIA ROUND DUCT TEE</t>
  </si>
  <si>
    <t>18" DIA TO 12" DIA ROUND DUCT TEE</t>
  </si>
  <si>
    <t>20" DIA TO 14" DIA ROUND DUCT TEE</t>
  </si>
  <si>
    <t>14" DIA TO 6" DIA ROUND DUCT REDUCER</t>
  </si>
  <si>
    <t>16" DIA TO 8" DIA ROUND DUCT REDUCER</t>
  </si>
  <si>
    <t>18" DIA TO 16" DIA ROUND DUCT REDUCER</t>
  </si>
  <si>
    <t>20" DIA TO 14" DIA ROUND DUCT REDUCER</t>
  </si>
  <si>
    <t>20" DIA TO 18" DIA ROUND DUCT REDUCER</t>
  </si>
  <si>
    <t>6" DIA COMBINED FIRE AND SMOKE DAMPER</t>
  </si>
  <si>
    <t>14" DIA COMBINED FIRE AND SMOKE DAMPER</t>
  </si>
  <si>
    <t>18" DIA COMBINED FIRE AND SMOKE DAMPER</t>
  </si>
  <si>
    <t>14" DIA MANUAL VOLUME DAMPER</t>
  </si>
  <si>
    <t>16" DIA MANUAL VOLUME DAMPER</t>
  </si>
  <si>
    <t>10" DIA DUCT END CAP</t>
  </si>
  <si>
    <t>14" DIA DUCT END CAP</t>
  </si>
  <si>
    <t>18" DIA DUCT END CAP</t>
  </si>
  <si>
    <t>FSD: COMBINED FIRE AND SMOKE DAMPER</t>
  </si>
  <si>
    <t>MANUAL VOLUME DAMPER</t>
  </si>
  <si>
    <t>PLENUM</t>
  </si>
  <si>
    <t>DUCT SUPPORTS</t>
  </si>
  <si>
    <t>CONICAL METAL FLASHING</t>
  </si>
  <si>
    <t>METAL CLAMP RING</t>
  </si>
  <si>
    <t>SHEET METAL SCREW</t>
  </si>
  <si>
    <t>3/4" WIDE X 10 GA. GALV. STEEL FLAT BAR BENT</t>
  </si>
  <si>
    <t>REMOVABLE 1/2" MESH SCREEN</t>
  </si>
  <si>
    <t>SHEET METAL DEFLECTOR (20 GA. MIN.)</t>
  </si>
  <si>
    <t>AIR DEVICES</t>
  </si>
  <si>
    <t>18" X 18", EXHAUST AIR GRILLE W/ BACK DRAFT DAMPER</t>
  </si>
  <si>
    <t>CD2-4W: SQUARE CEILING, CFM RANGE: 101-175, MODULE: 20"x20", DUCT SIZE: 8" DIA, MFR/MODEL: TITUS PAS</t>
  </si>
  <si>
    <r>
      <t xml:space="preserve">CR-1 </t>
    </r>
    <r>
      <rPr>
        <sz val="11"/>
        <color rgb="FFFF0000"/>
        <rFont val="Calibri"/>
        <family val="2"/>
        <scheme val="minor"/>
      </rPr>
      <t>(DETAIL NOT GIVEN)</t>
    </r>
  </si>
  <si>
    <t>EXHAUST AIR GRILLE W/ BACK DRAFT DAMPER, RAIN-CAP &amp; MIN. 0.50 SF FREE AREA</t>
  </si>
  <si>
    <t>EXHAUST AIR GRILLE W/ BACK DRAFT DAMPER, RAIN-CAP &amp; MIN. 2.0 SF FREE AREA</t>
  </si>
  <si>
    <t>OA GRILLE W/ RAIN-CAP, BIRD SCREEN &amp; MIN. 2.0 SF FREE AREA</t>
  </si>
  <si>
    <t>OSA LOUVER W/ RAIN-CAP, MIN. 0.75 SF FREE AREA</t>
  </si>
  <si>
    <t>OSA LOUVER W/ RAIN-CAP</t>
  </si>
  <si>
    <t>RG: RETURN GRILLE, 18"</t>
  </si>
  <si>
    <t>RR1, CEILING MOUNTED GRILLE , CFM RANGE: 300-1035, MODULE: 18"x18", MFR/MODEL: TITUS 350RL</t>
  </si>
  <si>
    <t>SD1: SPIRAL DUCT MOUNTED GRILLE, CFM RANGE: 0-375, DUCT SIZE: 18"x6",  MFR/MODEL: TITUS S301F</t>
  </si>
  <si>
    <t>SD2: SPIRAL DUCT MOUNTED GRILLE, CFM RANGE: 376-615, DUCT SIZE: 18"x8", MFR/MODEL: TITUS S301F</t>
  </si>
  <si>
    <t>SWR-1: 200 CFM</t>
  </si>
  <si>
    <t>WSG1: WALL MOUNTED GRILLE , CFM RANGE: 0-250,  MODULE:12"x6",  MFR/MODEL: TITUS 350</t>
  </si>
  <si>
    <t>WSG2: WALL MOUNTED GRILLE, CFM RANGE: 251-1035, MODULE: 18"x12", MFR/MODEL: TITUS 350</t>
  </si>
  <si>
    <t>UNITS</t>
  </si>
  <si>
    <t>FAU-1.1: PROPANE GAS FIRED FURNACE W/ THERMOSTAT &amp;  MERV-13 FILTERS, MFR: CARRIER, MODEL: 58TP1 11 OV21-22</t>
  </si>
  <si>
    <t xml:space="preserve">FAU-1.2: PROPANE GAS FIRED FURNACE W/ THERMOSTAT &amp; MERV-13 FILTERS, MFR: CARRIER, MODEL: 58TP1 135V24-22 </t>
  </si>
  <si>
    <t>FAU-2.1: PROPANE GAS FIRED FURNACE W/ THERMOSTAT &amp; MERV-13 FILTERS, MFR: CARRIER, MODEL: 58TP1 11 OV21-22</t>
  </si>
  <si>
    <t>FAU-2.2: PROPANE GAS FIRED FURNACE W/ THERMOSTAT &amp;  MERV-13 FILTERS, MFR: CARRIER, MODEL:58TP1 11 OV21-22</t>
  </si>
  <si>
    <t>LSS-1.1: LAUNDRY EXHAUST AND SUPPLY AIR SYSTEM W/ L150 CONSTANT PRESSURE CONTROLLER, MFR/MODEL: LF SYSTEMS DEF025, CFM: 2000,  SP (IN WATER):1.50, HP: 1</t>
  </si>
  <si>
    <t>LSS-1.2: LAUNDRY EXHAUST AND SUPPLY AIR SYSTEM W/ L150 CONSTANT PRESSURE CONTROLLER, MFR/MODEL: LF SYSTEMS DEF025, CFM: 2000,  SP (IN WATER):1.50, HP: 1</t>
  </si>
  <si>
    <t>LSS-2.0: LAUNDRY EXHAUST AND SUPPLY AIR SYSTEM W/ L150 CONSTANT PRESSURE CONTROLLER, MFR/MODEL: LF SYSTEMS DEF035, CFM: 2000,  SP (IN WATER):1.50, HP: 3</t>
  </si>
  <si>
    <t>FANS</t>
  </si>
  <si>
    <t>EF-104: EXHAUST FAN W/ INLINE FAN, DIRECT DRIVE EC MOTOR, CONTROL VIA TIME CLOCK/LIGHT SWITCH, AND BACK-DRAFT DAMPER, MFR: S&amp;P, MODEL: TD-100, AIRFLOW: 100, POWER:120/1/60, WATT: 26</t>
  </si>
  <si>
    <t>EF-107: EXHAUST FAN W/ INLINE FAN, DIRECT DRIVE EC MOTOR, CONTROL VIA TIME CLOCK/LIGHT SWITCH, AND BACK-DRAFT DAMPER, MFR: S&amp;P, MODEL: TD-100, AIRFLOW: 100, POWER:120/1/60, WATT: 26</t>
  </si>
  <si>
    <t>EF-108: EXHAUST FAN W/ INLINE FAN, DIRECT DRIVE EC MOTOR, CONTROL VIA TIME CLOCK/LIGHT SWITCH, AND BACK-DRAFT DAMPER, MFR: S&amp;P, MODEL: TD-100, AIRFLOW: 100, POWER:120/1/60, WATT: 26</t>
  </si>
  <si>
    <t>EF-211: EXHAUST FAN W/ INLINE FAN, DIRECT DRIVE EC MOTOR, CONTROL VIA TIME CLOCK/LIGHT SWITCH, AND BACK-DRAFT DAMPER, MFR: S&amp;P, MODEL: TD-100, AIRFLOW: 100, POWER:120/1/60, WATT: 26</t>
  </si>
  <si>
    <t>EF-212: EXHAUST FAN W/ INLINE FAN, DIRECT DRIVE EC MOTOR, CONTROL VIA TIME CLOCK/LIGHT SWITCH, AND BACK-DRAFT DAMPER, MFR: S&amp;P, MODEL: TD-100, AIRFLOW: 100, POWER:120/1/60, WATT: 26</t>
  </si>
  <si>
    <t>4" DIA FLUE VENT UPTO ROOF</t>
  </si>
  <si>
    <t>4" DIA VENT THRU WALL</t>
  </si>
  <si>
    <t>14" DIA LINT TRAP</t>
  </si>
  <si>
    <t>DUCT SMOKE DETECTOR</t>
  </si>
  <si>
    <t>THERMOSTAT</t>
  </si>
  <si>
    <t>#18/4C CONTROL WIRE FOR THERMOSTAT</t>
  </si>
  <si>
    <t>DRYER BOX</t>
  </si>
  <si>
    <t>ALL ROUND DUCT JOINTS SHALL BE TAPED WITH DUCT TAPE OR METAL TAPE.</t>
  </si>
  <si>
    <t>SUBMIT A COMPLETE AIR TEST AND BALANCE REPORT TO THE OWNER REPRESENTATIVE FOR REVIEW AND APPROVAL PRIOR TO COMPLETION AND ACCEPTANCE OF THE PROJECT, COMPLY WITH T-24 CALCULATIONS.</t>
  </si>
  <si>
    <t>TOTAL BID PRICE</t>
  </si>
  <si>
    <t>WASTAGE</t>
  </si>
  <si>
    <t>QTY WITH
WASTAGE</t>
  </si>
  <si>
    <t>MANHOUR RATE</t>
  </si>
  <si>
    <t>DISTRIBUTION</t>
  </si>
  <si>
    <t>CONDUITS</t>
  </si>
  <si>
    <t>3"C LFMC</t>
  </si>
  <si>
    <t>FT</t>
  </si>
  <si>
    <t>3"     CONDUIT - PVC40</t>
  </si>
  <si>
    <t>3"     ELBOW 90 DEG - RMC - GALV</t>
  </si>
  <si>
    <t>3"     LOCKNUT - STEEL</t>
  </si>
  <si>
    <t>3"     COUPLING - PVC</t>
  </si>
  <si>
    <t>3"     ADAPTER FEM - PVC</t>
  </si>
  <si>
    <t>3"     CONDUIT - RMC - GALV</t>
  </si>
  <si>
    <t>3"     COUPLING - RMC - GALV</t>
  </si>
  <si>
    <t>3"     BUSHING - PLASTIC</t>
  </si>
  <si>
    <t>3"     MEASURE CUT &amp; THREAD LABOR - RMC - GALV</t>
  </si>
  <si>
    <t>3"     SPRING STL CONDUIT CLAMP W/ BOLT</t>
  </si>
  <si>
    <t>3/8-16x 2 1/4 WEDGE ANCHOR - 1 1/2" MIN DEPTH</t>
  </si>
  <si>
    <t>2"     CONDUIT - EMT</t>
  </si>
  <si>
    <t>2"     ELBOW 90 DEG - EMT</t>
  </si>
  <si>
    <t>2"     CONN SS STL - EMT</t>
  </si>
  <si>
    <t>2"     COUPLING SS STL - EMT</t>
  </si>
  <si>
    <t>2"     BUSHING - PLASTIC</t>
  </si>
  <si>
    <t>2"     1-H STRAP - EMT - STEEL</t>
  </si>
  <si>
    <t>1/4-20x 1 3/4 WEDGE ANCHOR - 1 1/8" MIN DEPTH</t>
  </si>
  <si>
    <t>1 1/2" CONDUIT - EMT</t>
  </si>
  <si>
    <t>1 1/2" ELBOW 90 DEG - EMT</t>
  </si>
  <si>
    <t>1 1/2" CONN SS STL - EMT</t>
  </si>
  <si>
    <t>1 1/2" COUPLING SS STL - EMT</t>
  </si>
  <si>
    <t>1 1/2" BUSHING - PLASTIC</t>
  </si>
  <si>
    <t>1 1/2" 1-H STRAP - EMT - STEEL</t>
  </si>
  <si>
    <t>1"     CONDUIT - PVC40</t>
  </si>
  <si>
    <t>1"     ELBOW 90 DEG - RMC - GALV</t>
  </si>
  <si>
    <t>1"     LOCKNUT - STEEL</t>
  </si>
  <si>
    <t>1"     COUPLING - PVC</t>
  </si>
  <si>
    <t>1"     ADAPTER FEM - PVC</t>
  </si>
  <si>
    <t>CONDUCTORS</t>
  </si>
  <si>
    <t>#350 THW</t>
  </si>
  <si>
    <t>#3/0 THHN</t>
  </si>
  <si>
    <t>#3/0 THW</t>
  </si>
  <si>
    <t>#1/0 THHN</t>
  </si>
  <si>
    <t xml:space="preserve">#1 THHN   </t>
  </si>
  <si>
    <t>#6 THHN</t>
  </si>
  <si>
    <t>#8 THHN</t>
  </si>
  <si>
    <t>GROUNDING</t>
  </si>
  <si>
    <t>Encased in Concrete</t>
  </si>
  <si>
    <t>#3/0 BARE COPPER - 19-STRAND</t>
  </si>
  <si>
    <t>3/4" X 10" GROUNDING ROD TBC</t>
  </si>
  <si>
    <t>#500 MAIN BOUNDING JUMPER</t>
  </si>
  <si>
    <t xml:space="preserve">EXOTHERMIC WIELD </t>
  </si>
  <si>
    <t>DISCONNECT SWITCHES</t>
  </si>
  <si>
    <t xml:space="preserve">40AF/40AS/2P DISCONNECT SWITCH NEMA 3R </t>
  </si>
  <si>
    <t xml:space="preserve">60AF/60AS/3P DISCONNECT SWITCH NEMA 1 </t>
  </si>
  <si>
    <t>110AF/100AS/3P DISCONNECT SWITCH NEMA 3R</t>
  </si>
  <si>
    <t>BREAKERS</t>
  </si>
  <si>
    <t>15A/1P CIRCUIT BREAKER</t>
  </si>
  <si>
    <t>20A/1P CIRCUIT BREAKER</t>
  </si>
  <si>
    <t>20A/3P CIRCUIT BREAKER</t>
  </si>
  <si>
    <t>40A/2P CIRCUIT BREAKER</t>
  </si>
  <si>
    <t>60A/3P CIRCUIT BREAKER</t>
  </si>
  <si>
    <t>100A/3P CIRCUIT BREAKER</t>
  </si>
  <si>
    <t>110A/3P CIRCUIT BREAKER</t>
  </si>
  <si>
    <t>125A/3P CIRCUIT BREAKER</t>
  </si>
  <si>
    <t>200A/3P CIRCUIT BREAKER</t>
  </si>
  <si>
    <t>400A/3P CIRCUIT BREAKER</t>
  </si>
  <si>
    <t>1200A/3P CIRCUIT BREAKER</t>
  </si>
  <si>
    <t>PANELS</t>
  </si>
  <si>
    <t>PANEL A, 
200A MCB, 120/208 WYE, 3PH, 4W, 42K AIC RATING, 42 POLES, RECESSED MOUNTED, NEMA 1 ENCLOSURE W/ COPPER BUS</t>
  </si>
  <si>
    <t>PANEL AC, 
200A MCB, 120/208 WYE, 3PH, 4W, 22K AIC RATING, 42 POLES, RECESSED MOUNTED, NEMA 1 ENCLOSURE W/ COPPER BUS</t>
  </si>
  <si>
    <t>PANEL B, 
200A MCB, 120/208 WYE, 3PH, 4W, 22K AIC RATING, 42 POLES, RECESSED MOUNTED, NEMA 1 ENCLOSURE W/ COPPER BUS</t>
  </si>
  <si>
    <t>PANEL MSA, 
1200A MCB, 120/208 WYE, 3PH, 4W, 65K AIC RATING, 10 POLES  NEMA 3R ENCLOSURE &amp; 400A, 120V/208, 3 PHASE, 4W BUS, W/ NEUTRAL AND GROUND BUS BAR</t>
  </si>
  <si>
    <t>PANEL PV, 
200A MCB, 120/208 WYE, 3PH, 4W, 42K AIC RATING, 24 POLES, RECESSED MOUNTED, NEMA 1 ENCLOSURE W/ COPPER BUS</t>
  </si>
  <si>
    <t>PANEL R1, 
200A MCB, 120/208 WYE, 3PH, 4W,42K AIC RATING, 42 POLES, RECESSED MOUNTED, NEMA 1 ENCLOSURE W/ COPPER BUS</t>
  </si>
  <si>
    <t>PANEL R2, 
200A MCB, 120/208 WYE, 3PH, 4W,22K AIC RATING, 42 POLES, RECESSED MOUNTED, NEMA 1 ENCLOSURE W/ COPPER BUS</t>
  </si>
  <si>
    <t>PANEL WD, 
200A MCB, 120/208 WYE, 3PH, 4W,42K AIC RATING, 42 POLES, RECESSED MOUNTED, NEMA 1 ENCLOSURE W/ COPPER BUS</t>
  </si>
  <si>
    <t>PANEL WDI, 125A DETAIL NOT GIVEN</t>
  </si>
  <si>
    <t>125A METER SOCKET NEMA 3R</t>
  </si>
  <si>
    <t>200A METER SOCKET NEMA 3R</t>
  </si>
  <si>
    <t>400A METER SOCKET NEMA 3R</t>
  </si>
  <si>
    <t>TRENCHING &amp; BACKFILLING</t>
  </si>
  <si>
    <t>BRANCH WIRING</t>
  </si>
  <si>
    <t>CONDUITS - LIGHTING</t>
  </si>
  <si>
    <t xml:space="preserve">  3/4" CONDUIT - EMT</t>
  </si>
  <si>
    <t xml:space="preserve">  3/4" CONN SS STL - EMT</t>
  </si>
  <si>
    <t xml:space="preserve">  3/4" COUPLING SS STL - EMT</t>
  </si>
  <si>
    <t xml:space="preserve">  3/4" 1-H STRAP - EMT - STEEL</t>
  </si>
  <si>
    <t>CONDUCTORS/CABLES - LIGHTING</t>
  </si>
  <si>
    <t>#12 THHN SOLID</t>
  </si>
  <si>
    <t>#12/3C SOLID MC</t>
  </si>
  <si>
    <t>CONDUITS - POWER</t>
  </si>
  <si>
    <t>1 1/4" CONDUIT - EMT</t>
  </si>
  <si>
    <t>1 1/4" CONN SS STL - EMT</t>
  </si>
  <si>
    <t>1 1/4" COUPLING SS STL - EMT</t>
  </si>
  <si>
    <t>1 1/4" BUSHING - PLASTIC</t>
  </si>
  <si>
    <t>1 1/4" 1-H STRAP - EMT - STEEL</t>
  </si>
  <si>
    <t>3/4"C FLEX S</t>
  </si>
  <si>
    <t xml:space="preserve">  3/4" CONDUIT - RMC - GALV</t>
  </si>
  <si>
    <t xml:space="preserve">  3/4" MEASURE CUT &amp; THREAD LABOR - RMC - GALV</t>
  </si>
  <si>
    <t xml:space="preserve">  3/4" 1-H STRAP - RMC - MALL</t>
  </si>
  <si>
    <t>4 9/16x 1 15/16" DEEP CAST BOX W/ 4x   3/4" HUBS - CI</t>
  </si>
  <si>
    <t>COVER ROUND BLANK - CI</t>
  </si>
  <si>
    <t>#8  TO #10x   7/8 PLAS ANCHOR (3/16)</t>
  </si>
  <si>
    <t>#10x 1     P/H SELF-TAP SCREW</t>
  </si>
  <si>
    <t>CONDUCTORS/CABLES- POWER</t>
  </si>
  <si>
    <t>#4 THHN</t>
  </si>
  <si>
    <t>#8 THW</t>
  </si>
  <si>
    <t>#10 THHN</t>
  </si>
  <si>
    <t>#10 THW</t>
  </si>
  <si>
    <t>#12 THHN</t>
  </si>
  <si>
    <t>WIRING DEVICES</t>
  </si>
  <si>
    <t>CONTROLLED RECEPTACLE</t>
  </si>
  <si>
    <t>DUPLEX CONVENIENCE RECEPTACLE, FLUSH MOUNT, 125V/2P/3W/15A, NEMA 5-15R</t>
  </si>
  <si>
    <t>GFCI DOUBLE DUPLEX IN COMMON BOX</t>
  </si>
  <si>
    <t>GFCI DUPLEX ERECEPTACLE, FLUSH MOUNT, 125V/2P/3W/20A, NEMA 5-20R</t>
  </si>
  <si>
    <t>JUNCTION BOX ACCESSIBLE CEILING SPACE</t>
  </si>
  <si>
    <t>SINGLE POLE MOTOR RATED SWITCH, 20A/1P/125V, NEMA 1.</t>
  </si>
  <si>
    <t>SINGLE POLE MOTOR RATED SWITCH, 20A/3P/125V, NEMA 1.</t>
  </si>
  <si>
    <t>WP, JUNCTION BOX</t>
  </si>
  <si>
    <t>WR/WP/GFCI DUPLEX ERECEPTACLE, FLUSH MOUNT, 125V/2P/3W/20A, NEMA 5-20R</t>
  </si>
  <si>
    <t>LIGHTING FIXTURES</t>
  </si>
  <si>
    <t>1, WALL MOUNT FIXTURE, PERFORMANCE IN LIGHTING, NIKKO+21.</t>
  </si>
  <si>
    <t>2, SEMI-FLUSH M0UNT FIXTURE, EUREKA, ELROY 4765.D.</t>
  </si>
  <si>
    <t>2, EMERGENCY SEMI-FLUSH M0UNT FIXTURE, EUREKA, ELROY 4765.D, 90 MIN BATTERY BACKUP.</t>
  </si>
  <si>
    <t>3, 4.5"RECESSED LED FIXTURE, USA ILLUMINATION LIGHTING, BEVEL LED 2.0 3021.</t>
  </si>
  <si>
    <t>4, LAUNDRY LED LOW PROFILE FIXTURE, LITHONIA LIGHTING, BLWP.</t>
  </si>
  <si>
    <t>4, EMERGENCYLIGHT LAUNDRY LED LOW PROFILE FIXTURE, LITHONIA LIGHTING, BLWP, 90 MIN BATTERY BACKUP.</t>
  </si>
  <si>
    <t>5, WAREHOUSE LED DEEP LENS FIXTURE, LITHONIA LIGHTING, FEM LED.</t>
  </si>
  <si>
    <t>5, EMERGENCY WAREHOUSE LED DEEP LENS FIXTURE, LITHONIA LIGHTING, FEM LED, 90 MIN BATTERY BACKUP.</t>
  </si>
  <si>
    <t>6, WAREHOUSE LED DEEP LENSE FIXTURE, FLUXWORX, PROFILE MINI - FLAT.</t>
  </si>
  <si>
    <t>6, EMERGENCY WAREHOUSE LED DEEP LENSE FIXTURE, FLUXWORX, PROFILE MINI - FLAT, 90 MIN BATTERY BACKUP.</t>
  </si>
  <si>
    <t>7, PENDENT FIXTURE, BY OWNER OR TENANT, INSTALLED BY CONTRACTOR BRUCK OR SIM, CLASSIC S WD E26.</t>
  </si>
  <si>
    <t>7, EMERGENCY PENDENT FIXTURE, BY OWNER OR TENANT, INSTALLED BY CONTRACTOR BRUCK OR SIM, CLASSIC S WD E26, 90 MIN BATTERY BACKUP.</t>
  </si>
  <si>
    <t>EXIT SIGN LIGHT FIXTURE WITH 90 MIN OF BATTERY BACKUP.</t>
  </si>
  <si>
    <t>LIGHTING CONTROLS &amp; SUPPORTS</t>
  </si>
  <si>
    <t>MULTI-LEVEL OCCUPANCY SENSOR, BY WATT STOPPER</t>
  </si>
  <si>
    <t>DIMMER SWITCH</t>
  </si>
  <si>
    <t>FLUSH WALL TOGGLE SWITCH, 20A, 120V.</t>
  </si>
  <si>
    <t>ROOM OCCUPANCY SENSOR</t>
  </si>
  <si>
    <t>SINGLE POLE TOGGLE SWITCH</t>
  </si>
  <si>
    <t>JUNCTION BOX IN ACCESSIBLE CEILING SPACE.</t>
  </si>
  <si>
    <t xml:space="preserve">TOTAL MATERIAL COST  </t>
  </si>
  <si>
    <t xml:space="preserve">TOTAL LABOR COST  </t>
  </si>
  <si>
    <t xml:space="preserve">TOTAL LABOR HOURS  </t>
  </si>
  <si>
    <t>SCOPE OF ESTIMATE:</t>
  </si>
  <si>
    <t>SR. NO.</t>
  </si>
  <si>
    <t>SUPPLY &amp; INSTALLATION</t>
  </si>
  <si>
    <t xml:space="preserve">LIGHTING FIXTURES </t>
  </si>
  <si>
    <t>POWER FEEDERS</t>
  </si>
  <si>
    <t>ROUGH-IN FOR LOW VOLTAGE &amp; FIRE ALARM</t>
  </si>
  <si>
    <t>DEMOLITION</t>
  </si>
  <si>
    <t>INCLUSIONS</t>
  </si>
  <si>
    <t>THE ESTIMATE INCLUDES THE INFORMATION SHOWN ONLY ON THE DRAWINGS</t>
  </si>
  <si>
    <t>THE ESTIMATE INCLUDES MATERIAL PRICES (EXCEPT FOR QUOTED ITEMS - LIGHTING FIXTURES AND SWITCHGEAR)</t>
  </si>
  <si>
    <t>INCLUDES LABOR HOURS FOR INSTALLATION FOR ALL ITEMS</t>
  </si>
  <si>
    <t>EXCLUSIONS</t>
  </si>
  <si>
    <t>FIRESTOPPING IS NOT INCLUDED FOR WALL PENETRATION.</t>
  </si>
  <si>
    <t>PERMITS AND FEES</t>
  </si>
  <si>
    <t>TEMPORARY POWER IS NOT INCLUDED.</t>
  </si>
  <si>
    <t>EXCLUDES ANY SAWCUTTING OF CONCRETE</t>
  </si>
  <si>
    <t>EXCLUDES ANY PATCHING OF CONCRETE</t>
  </si>
  <si>
    <t>CONTROL CABLES, COAX &amp; CAT5 CABLING FOR THE DATA SYSTEM IS EXCLUDED</t>
  </si>
  <si>
    <t>VOICE/DATA OUTLETS ARE EXCLUDED</t>
  </si>
  <si>
    <t>ALL PANELBOARD SHALL BE SERVICE ENTRANCE RATED</t>
  </si>
  <si>
    <t>ALL CONDUIT 90 DEGREE CONDUITS BENDS AND RISERS SHALL BE PVC COATED RIGID STEEL</t>
  </si>
  <si>
    <t>NEW PANELBOARDS SHALL BE FLUSH OR SURFACE MOUNTED GALVANIZED STEEL CABINETS W/ BAKED ENAMEL FINISH AND W/ HINGED LOCKABLE DOORS PROVIDE SPACE AND SEPRATE HINGED LOCKABLE DOOR FOR CONTACTORS AND CONTROL DEVICE AS REQUIRED.</t>
  </si>
  <si>
    <t>JUNE LAKE BUSINESS CENTER PHASE-1, 2784 CA HWY 158 JUNE LAKE, CA 23529
DATE: 03/28/2024</t>
  </si>
  <si>
    <t>SY</t>
  </si>
  <si>
    <t>HAWK ESTIMATION SERVICES LLC
WWW.HAWKESTIMATION.COM
+1 737 600 0820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</si>
</sst>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_(&quot;$&quot;* \(#,##0.00\);_(&quot;$&quot;* &quot;-&quot;??_);_(@_)"/>
    <numFmt numFmtId="43" formatCode="_(* #,##0.00_);_(* \(#,##0.00\);_(* &quot;-&quot;??_);_(@_)"/>
    <numFmt numFmtId="164" formatCode="_-* #,##0_-;\-* #,##0_-;_-* &quot;-&quot;_-;_-@_-"/>
    <numFmt numFmtId="165" formatCode="_-* #,##0.00_-;\-* #,##0.00_-;_-* &quot;-&quot;??_-;_-@_-"/>
    <numFmt numFmtId="166" formatCode="_-[$$-409]* #,##0.00_ ;_-[$$-409]* \-#,##0.00\ ;_-[$$-409]* &quot;-&quot;??_ ;_-@_ "/>
    <numFmt numFmtId="167" formatCode="_-* #,##0.00_-;\-* #,##0.00_-;_-* &quot;-&quot;_-;_-@_-"/>
    <numFmt numFmtId="168" formatCode="_-[$$-409]* #,##0_ ;_-[$$-409]* \-#,##0\ ;_-[$$-409]* &quot;-&quot;??_ ;_-@_ "/>
    <numFmt numFmtId="169" formatCode="_(&quot;$&quot;* #,##0_);_(&quot;$&quot;* \(#,##0\);_(&quot;$&quot;* &quot;-&quot;??_);_(@_)"/>
    <numFmt numFmtId="170" formatCode="00\ 00\ 00"/>
    <numFmt numFmtId="171" formatCode="&quot;$&quot;#,##0.00"/>
    <numFmt numFmtId="172" formatCode="[$-F800]dddd\,\ mmmm\ dd\,\ yyyy"/>
    <numFmt numFmtId="173" formatCode="0.0"/>
    <numFmt numFmtId="174" formatCode="0.000"/>
    <numFmt numFmtId="175" formatCode="_-* #,##0.0000_-;\-* #,##0.0000_-;_-* &quot;-&quot;??_-;_-@_-"/>
    <numFmt numFmtId="176" formatCode="_-[$$-409]* #,##0.0_ ;_-[$$-409]* \-#,##0.0\ ;_-[$$-409]* &quot;-&quot;??_ ;_-@_ "/>
  </numFmts>
  <fonts count="30" x14ac:knownFonts="1">
    <font>
      <sz val="11"/>
      <color theme="1"/>
      <name val="Calibri"/>
      <family val="2"/>
      <scheme val="minor"/>
    </font>
    <font>
      <sz val="11"/>
      <color theme="1"/>
      <name val="Calibri"/>
      <family val="2"/>
      <scheme val="minor"/>
    </font>
    <font>
      <sz val="12"/>
      <name val="Arial"/>
      <family val="2"/>
    </font>
    <font>
      <sz val="11"/>
      <name val="Calibri"/>
      <family val="2"/>
      <scheme val="minor"/>
    </font>
    <font>
      <b/>
      <sz val="1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8"/>
      <name val="Calibri"/>
      <family val="2"/>
      <scheme val="minor"/>
    </font>
    <font>
      <i/>
      <sz val="11"/>
      <color theme="1"/>
      <name val="Calibri"/>
      <family val="2"/>
      <scheme val="minor"/>
    </font>
    <font>
      <b/>
      <sz val="11"/>
      <color rgb="FFFF0000"/>
      <name val="Calibri"/>
      <family val="2"/>
      <scheme val="minor"/>
    </font>
    <font>
      <b/>
      <sz val="11"/>
      <color theme="0"/>
      <name val="Calibri"/>
      <family val="2"/>
      <scheme val="minor"/>
    </font>
    <font>
      <b/>
      <sz val="20"/>
      <name val="Calibri"/>
      <family val="2"/>
      <scheme val="minor"/>
    </font>
    <font>
      <b/>
      <sz val="14"/>
      <name val="Calibri"/>
      <family val="2"/>
      <scheme val="minor"/>
    </font>
    <font>
      <b/>
      <i/>
      <sz val="11"/>
      <color theme="4" tint="-0.249977111117893"/>
      <name val="Calibri"/>
      <family val="2"/>
      <scheme val="minor"/>
    </font>
    <font>
      <b/>
      <sz val="14"/>
      <color rgb="FFFF0000"/>
      <name val="Calibri"/>
      <family val="2"/>
      <scheme val="minor"/>
    </font>
    <font>
      <sz val="14"/>
      <color theme="1"/>
      <name val="Calibri"/>
      <family val="2"/>
      <scheme val="minor"/>
    </font>
    <font>
      <sz val="16"/>
      <color theme="1"/>
      <name val="Calibri"/>
      <family val="2"/>
      <scheme val="minor"/>
    </font>
    <font>
      <sz val="11"/>
      <color theme="0"/>
      <name val="Calibri"/>
      <family val="2"/>
      <scheme val="minor"/>
    </font>
    <font>
      <b/>
      <sz val="16"/>
      <name val="Calibri"/>
      <family val="2"/>
      <scheme val="minor"/>
    </font>
    <font>
      <b/>
      <sz val="20"/>
      <color theme="0"/>
      <name val="Calibri"/>
      <family val="2"/>
      <scheme val="minor"/>
    </font>
    <font>
      <b/>
      <u/>
      <sz val="11"/>
      <color rgb="FFFF0000"/>
      <name val="Calibri"/>
      <family val="2"/>
      <scheme val="minor"/>
    </font>
    <font>
      <b/>
      <sz val="14"/>
      <color theme="0"/>
      <name val="Calibri"/>
      <family val="2"/>
      <scheme val="minor"/>
    </font>
    <font>
      <sz val="11"/>
      <color rgb="FFFF0000"/>
      <name val="Calibri"/>
      <family val="2"/>
      <scheme val="minor"/>
    </font>
    <font>
      <b/>
      <u/>
      <sz val="11"/>
      <color theme="1"/>
      <name val="Calibri"/>
      <family val="2"/>
      <scheme val="minor"/>
    </font>
    <font>
      <b/>
      <sz val="12"/>
      <name val="Calibri"/>
      <family val="2"/>
      <scheme val="minor"/>
    </font>
    <font>
      <sz val="11"/>
      <color rgb="FF000000"/>
      <name val="Calibri"/>
      <family val="2"/>
      <scheme val="minor"/>
    </font>
    <font>
      <b/>
      <i/>
      <sz val="12"/>
      <color theme="1"/>
      <name val="Calibri"/>
      <family val="2"/>
      <scheme val="minor"/>
    </font>
    <font>
      <sz val="11"/>
      <color theme="1"/>
      <name val="Calibri"/>
      <family val="2"/>
    </font>
  </fonts>
  <fills count="1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indexed="26"/>
      </patternFill>
    </fill>
    <fill>
      <patternFill patternType="solid">
        <fgColor theme="3"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8"/>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C000"/>
        <bgColor indexed="64"/>
      </patternFill>
    </fill>
  </fills>
  <borders count="6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style="thin">
        <color indexed="22"/>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22"/>
      </left>
      <right style="thin">
        <color indexed="22"/>
      </right>
      <top/>
      <bottom style="thin">
        <color indexed="22"/>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164" fontId="1" fillId="0" borderId="0" applyFont="0" applyFill="0" applyBorder="0" applyAlignment="0" applyProtection="0"/>
    <xf numFmtId="0" fontId="2" fillId="6" borderId="37" applyNumberFormat="0" applyFont="0" applyAlignment="0" applyProtection="0"/>
    <xf numFmtId="0" fontId="1" fillId="0" borderId="0"/>
  </cellStyleXfs>
  <cellXfs count="491">
    <xf numFmtId="0" fontId="0" fillId="0" borderId="0" xfId="0"/>
    <xf numFmtId="0" fontId="6" fillId="0" borderId="25" xfId="0" applyFont="1" applyBorder="1" applyAlignment="1">
      <alignment horizontal="center" vertical="center"/>
    </xf>
    <xf numFmtId="165" fontId="10" fillId="0" borderId="9" xfId="0" applyNumberFormat="1" applyFont="1" applyBorder="1" applyAlignment="1">
      <alignment vertical="center"/>
    </xf>
    <xf numFmtId="0" fontId="6" fillId="0" borderId="0" xfId="0" applyFont="1" applyAlignment="1">
      <alignment vertical="center"/>
    </xf>
    <xf numFmtId="0" fontId="10" fillId="0" borderId="0" xfId="0" applyFont="1" applyAlignment="1">
      <alignment vertical="center"/>
    </xf>
    <xf numFmtId="166" fontId="6" fillId="0" borderId="9" xfId="0" applyNumberFormat="1" applyFont="1" applyBorder="1" applyAlignment="1">
      <alignment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169" fontId="4" fillId="0" borderId="28" xfId="1" applyNumberFormat="1" applyFont="1" applyBorder="1" applyAlignment="1">
      <alignment horizontal="center" vertical="center"/>
    </xf>
    <xf numFmtId="169" fontId="4" fillId="0" borderId="28" xfId="1" applyNumberFormat="1" applyFont="1" applyFill="1" applyBorder="1" applyAlignment="1">
      <alignment horizontal="center" vertical="center" wrapText="1"/>
    </xf>
    <xf numFmtId="9" fontId="0" fillId="0" borderId="0" xfId="2" applyFont="1" applyFill="1" applyBorder="1" applyAlignment="1">
      <alignment vertical="center"/>
    </xf>
    <xf numFmtId="166" fontId="6" fillId="0" borderId="6" xfId="0" applyNumberFormat="1" applyFont="1" applyBorder="1" applyAlignment="1">
      <alignment vertical="center"/>
    </xf>
    <xf numFmtId="166" fontId="6" fillId="0" borderId="36" xfId="0" applyNumberFormat="1" applyFont="1" applyBorder="1" applyAlignment="1">
      <alignment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9" fontId="5" fillId="3" borderId="3" xfId="2" applyFont="1" applyFill="1" applyBorder="1" applyAlignment="1">
      <alignment horizontal="center" vertical="center"/>
    </xf>
    <xf numFmtId="166" fontId="5" fillId="0" borderId="7" xfId="0" applyNumberFormat="1"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164" fontId="0" fillId="0" borderId="9" xfId="4" applyFont="1" applyBorder="1" applyAlignment="1">
      <alignment vertical="center"/>
    </xf>
    <xf numFmtId="9" fontId="5" fillId="0" borderId="0" xfId="2" applyFont="1" applyFill="1" applyBorder="1" applyAlignment="1">
      <alignment horizontal="center" vertical="center"/>
    </xf>
    <xf numFmtId="0" fontId="5" fillId="0" borderId="0" xfId="0" applyFont="1" applyAlignment="1">
      <alignment horizontal="center" vertical="center"/>
    </xf>
    <xf numFmtId="166" fontId="5" fillId="0" borderId="0" xfId="0" applyNumberFormat="1" applyFont="1" applyAlignment="1">
      <alignment vertical="center"/>
    </xf>
    <xf numFmtId="164" fontId="0" fillId="0" borderId="26" xfId="4" applyFont="1" applyBorder="1" applyAlignment="1">
      <alignment vertical="center"/>
    </xf>
    <xf numFmtId="9" fontId="0" fillId="0" borderId="13" xfId="2" applyFont="1" applyFill="1" applyBorder="1" applyAlignment="1">
      <alignment vertical="center"/>
    </xf>
    <xf numFmtId="0" fontId="7" fillId="0" borderId="28" xfId="0" applyFont="1" applyBorder="1" applyAlignment="1">
      <alignment vertical="center"/>
    </xf>
    <xf numFmtId="9" fontId="5" fillId="0" borderId="3" xfId="2" applyFont="1" applyFill="1" applyBorder="1" applyAlignment="1">
      <alignment horizontal="center" vertical="center"/>
    </xf>
    <xf numFmtId="166" fontId="11" fillId="3" borderId="21" xfId="0" applyNumberFormat="1" applyFont="1" applyFill="1" applyBorder="1" applyAlignment="1">
      <alignment horizontal="center" vertical="center"/>
    </xf>
    <xf numFmtId="0" fontId="5" fillId="0" borderId="0" xfId="0" applyFont="1" applyAlignment="1">
      <alignment vertical="center"/>
    </xf>
    <xf numFmtId="0" fontId="5" fillId="0" borderId="10" xfId="0" applyFont="1" applyBorder="1" applyAlignment="1">
      <alignment vertical="center" wrapText="1"/>
    </xf>
    <xf numFmtId="170" fontId="6" fillId="0" borderId="25" xfId="0" applyNumberFormat="1" applyFont="1" applyBorder="1" applyAlignment="1">
      <alignment horizontal="center" vertical="center"/>
    </xf>
    <xf numFmtId="0" fontId="12" fillId="7" borderId="39" xfId="5" applyFont="1" applyFill="1" applyBorder="1" applyAlignment="1">
      <alignment vertical="center" wrapText="1"/>
    </xf>
    <xf numFmtId="43" fontId="0" fillId="0" borderId="9" xfId="4" applyNumberFormat="1" applyFont="1" applyBorder="1" applyAlignment="1">
      <alignment vertical="center"/>
    </xf>
    <xf numFmtId="9" fontId="3" fillId="2" borderId="8" xfId="2" applyFont="1" applyFill="1" applyBorder="1" applyAlignment="1">
      <alignment horizontal="center" vertical="center"/>
    </xf>
    <xf numFmtId="171" fontId="3" fillId="2" borderId="8" xfId="1" applyNumberFormat="1" applyFont="1" applyFill="1" applyBorder="1" applyAlignment="1">
      <alignment horizontal="center" vertical="center"/>
    </xf>
    <xf numFmtId="171" fontId="0" fillId="2" borderId="8" xfId="1" applyNumberFormat="1" applyFont="1" applyFill="1" applyBorder="1" applyAlignment="1">
      <alignment horizontal="center" vertical="center"/>
    </xf>
    <xf numFmtId="171" fontId="0" fillId="2" borderId="7" xfId="1" applyNumberFormat="1" applyFont="1" applyFill="1" applyBorder="1" applyAlignment="1">
      <alignment horizontal="center" vertical="center"/>
    </xf>
    <xf numFmtId="2" fontId="0" fillId="2" borderId="8" xfId="4" applyNumberFormat="1" applyFont="1" applyFill="1" applyBorder="1" applyAlignment="1">
      <alignment horizontal="center" vertical="center"/>
    </xf>
    <xf numFmtId="171" fontId="0" fillId="2" borderId="11" xfId="1" applyNumberFormat="1" applyFont="1" applyFill="1" applyBorder="1" applyAlignment="1">
      <alignment horizontal="center" vertical="center"/>
    </xf>
    <xf numFmtId="171" fontId="10" fillId="0" borderId="9" xfId="0" applyNumberFormat="1" applyFont="1" applyBorder="1" applyAlignment="1">
      <alignment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170" fontId="4" fillId="0" borderId="3" xfId="0" applyNumberFormat="1" applyFont="1" applyBorder="1" applyAlignment="1">
      <alignment horizontal="center" vertical="center" wrapText="1"/>
    </xf>
    <xf numFmtId="1"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wrapText="1"/>
    </xf>
    <xf numFmtId="167" fontId="4" fillId="0" borderId="40" xfId="4" applyNumberFormat="1" applyFont="1" applyFill="1" applyBorder="1" applyAlignment="1">
      <alignment horizontal="center" vertical="center" wrapText="1"/>
    </xf>
    <xf numFmtId="166" fontId="4" fillId="0" borderId="40" xfId="0" applyNumberFormat="1" applyFont="1" applyBorder="1" applyAlignment="1">
      <alignment horizontal="center" vertical="center" wrapText="1"/>
    </xf>
    <xf numFmtId="168" fontId="4" fillId="0" borderId="40" xfId="4" applyNumberFormat="1" applyFont="1" applyFill="1" applyBorder="1" applyAlignment="1">
      <alignment horizontal="center" vertical="center" wrapText="1"/>
    </xf>
    <xf numFmtId="0" fontId="10" fillId="0" borderId="40" xfId="0" applyFont="1" applyBorder="1" applyAlignment="1">
      <alignment vertical="center"/>
    </xf>
    <xf numFmtId="0" fontId="5" fillId="0" borderId="12" xfId="0" applyFont="1" applyBorder="1" applyAlignment="1">
      <alignment horizontal="center" vertical="center"/>
    </xf>
    <xf numFmtId="170" fontId="15" fillId="0" borderId="12" xfId="0" applyNumberFormat="1" applyFont="1" applyBorder="1" applyAlignment="1">
      <alignment horizontal="center" vertical="center" wrapText="1"/>
    </xf>
    <xf numFmtId="0" fontId="4" fillId="8" borderId="8" xfId="5" applyFont="1" applyFill="1" applyBorder="1" applyAlignment="1">
      <alignment horizontal="justify" vertical="center"/>
    </xf>
    <xf numFmtId="170" fontId="5" fillId="0" borderId="12" xfId="0" applyNumberFormat="1" applyFont="1" applyBorder="1" applyAlignment="1">
      <alignment horizontal="center" vertical="center"/>
    </xf>
    <xf numFmtId="0" fontId="5" fillId="0" borderId="25" xfId="0" applyFont="1" applyBorder="1" applyAlignment="1">
      <alignment horizontal="center" vertical="center"/>
    </xf>
    <xf numFmtId="170" fontId="5" fillId="0" borderId="25" xfId="0" applyNumberFormat="1" applyFont="1" applyBorder="1" applyAlignment="1">
      <alignment horizontal="center" vertical="center"/>
    </xf>
    <xf numFmtId="0" fontId="16" fillId="2" borderId="34" xfId="0" applyFont="1" applyFill="1" applyBorder="1" applyAlignment="1">
      <alignment vertical="center" wrapText="1"/>
    </xf>
    <xf numFmtId="0" fontId="17" fillId="2" borderId="34" xfId="0" applyFont="1" applyFill="1" applyBorder="1" applyAlignment="1">
      <alignment vertical="center" wrapText="1"/>
    </xf>
    <xf numFmtId="0" fontId="17" fillId="2" borderId="30" xfId="0" applyFont="1" applyFill="1" applyBorder="1" applyAlignment="1">
      <alignment vertical="center" wrapText="1"/>
    </xf>
    <xf numFmtId="167" fontId="0" fillId="2" borderId="14" xfId="4" applyNumberFormat="1" applyFont="1" applyFill="1" applyBorder="1" applyAlignment="1">
      <alignment horizontal="center" vertical="center"/>
    </xf>
    <xf numFmtId="167" fontId="0" fillId="2" borderId="15" xfId="4" applyNumberFormat="1" applyFont="1" applyFill="1" applyBorder="1" applyAlignment="1">
      <alignment horizontal="center" vertical="center"/>
    </xf>
    <xf numFmtId="170" fontId="0" fillId="2" borderId="15" xfId="4" applyNumberFormat="1" applyFont="1" applyFill="1" applyBorder="1" applyAlignment="1">
      <alignment horizontal="center" vertical="center"/>
    </xf>
    <xf numFmtId="167" fontId="0" fillId="0" borderId="0" xfId="4" applyNumberFormat="1" applyFont="1" applyAlignment="1">
      <alignment horizontal="center" vertical="center"/>
    </xf>
    <xf numFmtId="168" fontId="0" fillId="0" borderId="0" xfId="4" applyNumberFormat="1" applyFont="1" applyAlignment="1">
      <alignment horizontal="center" vertical="center"/>
    </xf>
    <xf numFmtId="0" fontId="6" fillId="0" borderId="5" xfId="0" applyFont="1" applyBorder="1" applyAlignment="1">
      <alignment horizontal="left" vertical="center"/>
    </xf>
    <xf numFmtId="0" fontId="6" fillId="0" borderId="8" xfId="0" applyFont="1" applyBorder="1" applyAlignment="1">
      <alignment horizontal="left" vertical="center"/>
    </xf>
    <xf numFmtId="0" fontId="5" fillId="0" borderId="0" xfId="0" applyFont="1" applyAlignment="1">
      <alignment horizontal="left" vertical="center"/>
    </xf>
    <xf numFmtId="0" fontId="6" fillId="0" borderId="28" xfId="0" applyFont="1" applyBorder="1" applyAlignment="1">
      <alignment horizontal="left" vertical="center"/>
    </xf>
    <xf numFmtId="166" fontId="6" fillId="0" borderId="29" xfId="0" applyNumberFormat="1" applyFont="1" applyBorder="1" applyAlignment="1">
      <alignment vertical="center"/>
    </xf>
    <xf numFmtId="166" fontId="5" fillId="2" borderId="2" xfId="1" applyNumberFormat="1" applyFont="1" applyFill="1" applyBorder="1" applyAlignment="1">
      <alignment horizontal="center" vertical="center"/>
    </xf>
    <xf numFmtId="166" fontId="5" fillId="2" borderId="3" xfId="4" applyNumberFormat="1" applyFont="1" applyFill="1" applyBorder="1" applyAlignment="1">
      <alignment horizontal="center" vertical="center"/>
    </xf>
    <xf numFmtId="2" fontId="5" fillId="2" borderId="3" xfId="4" applyNumberFormat="1" applyFont="1" applyFill="1" applyBorder="1" applyAlignment="1">
      <alignment horizontal="center" vertical="center"/>
    </xf>
    <xf numFmtId="168" fontId="5" fillId="0" borderId="3" xfId="0" applyNumberFormat="1" applyFont="1" applyBorder="1" applyAlignment="1">
      <alignment vertical="center"/>
    </xf>
    <xf numFmtId="0" fontId="17" fillId="0" borderId="0" xfId="0" applyFont="1" applyAlignment="1">
      <alignment vertical="center"/>
    </xf>
    <xf numFmtId="169" fontId="4" fillId="0" borderId="40" xfId="1" applyNumberFormat="1" applyFont="1" applyFill="1" applyBorder="1" applyAlignment="1">
      <alignment horizontal="center" vertical="center" wrapText="1"/>
    </xf>
    <xf numFmtId="169" fontId="4" fillId="0" borderId="41" xfId="1" applyNumberFormat="1" applyFont="1" applyFill="1" applyBorder="1" applyAlignment="1">
      <alignment horizontal="center" vertical="center" wrapText="1"/>
    </xf>
    <xf numFmtId="169" fontId="4" fillId="0" borderId="44" xfId="1" applyNumberFormat="1" applyFont="1" applyFill="1" applyBorder="1" applyAlignment="1">
      <alignment horizontal="center" vertical="center" wrapText="1"/>
    </xf>
    <xf numFmtId="169" fontId="4" fillId="5" borderId="41" xfId="1" applyNumberFormat="1" applyFont="1" applyFill="1" applyBorder="1" applyAlignment="1">
      <alignment horizontal="center" vertical="center" wrapText="1"/>
    </xf>
    <xf numFmtId="168" fontId="8" fillId="5" borderId="8" xfId="0" applyNumberFormat="1" applyFont="1" applyFill="1" applyBorder="1" applyAlignment="1">
      <alignment horizontal="center" vertical="center" wrapText="1"/>
    </xf>
    <xf numFmtId="0" fontId="19" fillId="7" borderId="38" xfId="5" applyFont="1" applyFill="1" applyBorder="1" applyAlignment="1">
      <alignment vertical="center" wrapText="1"/>
    </xf>
    <xf numFmtId="0" fontId="19" fillId="7" borderId="39" xfId="5" applyFont="1" applyFill="1" applyBorder="1" applyAlignment="1">
      <alignment vertical="center" wrapText="1"/>
    </xf>
    <xf numFmtId="1" fontId="7" fillId="0" borderId="8" xfId="0" applyNumberFormat="1" applyFont="1" applyBorder="1" applyAlignment="1">
      <alignment horizontal="center" vertical="center"/>
    </xf>
    <xf numFmtId="1" fontId="7" fillId="0" borderId="11" xfId="0" applyNumberFormat="1" applyFont="1" applyBorder="1" applyAlignment="1">
      <alignment horizontal="center" vertical="center"/>
    </xf>
    <xf numFmtId="1" fontId="3" fillId="2" borderId="8" xfId="3" applyNumberFormat="1" applyFont="1" applyFill="1" applyBorder="1" applyAlignment="1">
      <alignment horizontal="center" vertical="center"/>
    </xf>
    <xf numFmtId="0" fontId="0" fillId="0" borderId="18" xfId="0" applyBorder="1" applyAlignment="1">
      <alignment vertical="center"/>
    </xf>
    <xf numFmtId="0" fontId="0" fillId="0" borderId="0" xfId="0" applyAlignment="1">
      <alignment vertical="center"/>
    </xf>
    <xf numFmtId="0" fontId="0" fillId="0" borderId="17" xfId="0" applyBorder="1" applyAlignment="1">
      <alignment vertical="center"/>
    </xf>
    <xf numFmtId="0" fontId="0" fillId="0" borderId="0" xfId="0" applyAlignment="1">
      <alignment horizontal="center" vertical="center"/>
    </xf>
    <xf numFmtId="166" fontId="0" fillId="0" borderId="0" xfId="0" applyNumberFormat="1" applyAlignment="1">
      <alignment vertical="center"/>
    </xf>
    <xf numFmtId="0" fontId="0" fillId="0" borderId="24" xfId="0" applyBorder="1" applyAlignment="1">
      <alignment horizontal="center" vertical="center"/>
    </xf>
    <xf numFmtId="0" fontId="0" fillId="0" borderId="8" xfId="0" applyBorder="1" applyAlignment="1">
      <alignment horizontal="left" vertical="center" wrapText="1"/>
    </xf>
    <xf numFmtId="166" fontId="0" fillId="0" borderId="8" xfId="0" applyNumberFormat="1" applyBorder="1" applyAlignment="1">
      <alignment horizontal="center" vertical="center" wrapText="1"/>
    </xf>
    <xf numFmtId="166" fontId="0" fillId="0" borderId="8" xfId="0" applyNumberFormat="1" applyBorder="1" applyAlignment="1">
      <alignment horizontal="center" vertical="center"/>
    </xf>
    <xf numFmtId="166" fontId="0" fillId="5" borderId="11" xfId="0" applyNumberFormat="1" applyFill="1" applyBorder="1" applyAlignment="1">
      <alignment horizontal="center" vertical="center"/>
    </xf>
    <xf numFmtId="166" fontId="0" fillId="0" borderId="11" xfId="0" applyNumberFormat="1" applyBorder="1" applyAlignment="1">
      <alignment horizontal="center" vertical="center"/>
    </xf>
    <xf numFmtId="0" fontId="0" fillId="0" borderId="16"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vertical="center"/>
    </xf>
    <xf numFmtId="166" fontId="0" fillId="0" borderId="20" xfId="0" applyNumberFormat="1" applyBorder="1" applyAlignment="1">
      <alignment horizontal="center" vertical="center"/>
    </xf>
    <xf numFmtId="166" fontId="0" fillId="0" borderId="42" xfId="0" applyNumberFormat="1" applyBorder="1" applyAlignment="1">
      <alignment horizontal="center" vertical="center"/>
    </xf>
    <xf numFmtId="0" fontId="0" fillId="0" borderId="32" xfId="0" applyBorder="1" applyAlignment="1">
      <alignment horizontal="center" vertical="center"/>
    </xf>
    <xf numFmtId="0" fontId="0" fillId="0" borderId="45" xfId="0" applyBorder="1" applyAlignment="1">
      <alignment horizontal="left" vertical="center"/>
    </xf>
    <xf numFmtId="0" fontId="0" fillId="0" borderId="11" xfId="0" applyBorder="1" applyAlignment="1">
      <alignment vertical="center"/>
    </xf>
    <xf numFmtId="166" fontId="0" fillId="0" borderId="35" xfId="0" applyNumberFormat="1" applyBorder="1" applyAlignment="1">
      <alignment vertical="center"/>
    </xf>
    <xf numFmtId="0" fontId="0" fillId="0" borderId="11" xfId="0" applyBorder="1" applyAlignment="1">
      <alignment horizontal="left" vertical="center"/>
    </xf>
    <xf numFmtId="0" fontId="0" fillId="0" borderId="8" xfId="0" applyBorder="1" applyAlignment="1">
      <alignment vertical="center"/>
    </xf>
    <xf numFmtId="166" fontId="0" fillId="3" borderId="9" xfId="0" applyNumberFormat="1" applyFill="1" applyBorder="1" applyAlignment="1">
      <alignment vertical="center"/>
    </xf>
    <xf numFmtId="0" fontId="0" fillId="0" borderId="8" xfId="0" applyBorder="1" applyAlignment="1">
      <alignment horizontal="center" vertical="center"/>
    </xf>
    <xf numFmtId="0" fontId="0" fillId="0" borderId="11" xfId="0" applyBorder="1" applyAlignment="1">
      <alignment horizontal="center" vertical="center"/>
    </xf>
    <xf numFmtId="166" fontId="0" fillId="0" borderId="9" xfId="0" applyNumberFormat="1" applyBorder="1" applyAlignment="1">
      <alignment vertical="center"/>
    </xf>
    <xf numFmtId="0" fontId="0" fillId="0" borderId="42" xfId="0" applyBorder="1" applyAlignment="1">
      <alignment horizontal="left" vertical="center"/>
    </xf>
    <xf numFmtId="0" fontId="0" fillId="3" borderId="3" xfId="0" applyFill="1" applyBorder="1" applyAlignment="1">
      <alignment horizontal="center" vertical="center"/>
    </xf>
    <xf numFmtId="0" fontId="0" fillId="0" borderId="8" xfId="0" applyBorder="1" applyAlignment="1">
      <alignment vertical="center" wrapText="1"/>
    </xf>
    <xf numFmtId="0" fontId="0" fillId="3" borderId="11" xfId="0" applyFill="1" applyBorder="1" applyAlignment="1">
      <alignment vertical="center"/>
    </xf>
    <xf numFmtId="0" fontId="0" fillId="0" borderId="23" xfId="0" applyBorder="1" applyAlignment="1">
      <alignment horizontal="center" vertical="center"/>
    </xf>
    <xf numFmtId="0" fontId="0" fillId="0" borderId="10" xfId="0" applyBorder="1" applyAlignment="1">
      <alignment vertical="center"/>
    </xf>
    <xf numFmtId="166" fontId="0" fillId="0" borderId="31" xfId="0" applyNumberFormat="1" applyBorder="1" applyAlignment="1">
      <alignment vertical="center"/>
    </xf>
    <xf numFmtId="0" fontId="0" fillId="0" borderId="27" xfId="0" applyBorder="1" applyAlignment="1">
      <alignment horizontal="center" vertical="center"/>
    </xf>
    <xf numFmtId="0" fontId="0" fillId="0" borderId="14" xfId="0" applyBorder="1" applyAlignment="1">
      <alignment vertical="center"/>
    </xf>
    <xf numFmtId="0" fontId="0" fillId="0" borderId="15" xfId="0" applyBorder="1" applyAlignment="1">
      <alignment horizontal="center" vertical="center"/>
    </xf>
    <xf numFmtId="0" fontId="0" fillId="0" borderId="15" xfId="0" applyBorder="1" applyAlignment="1">
      <alignment vertical="center"/>
    </xf>
    <xf numFmtId="166" fontId="0" fillId="0" borderId="15" xfId="0" applyNumberFormat="1" applyBorder="1" applyAlignment="1">
      <alignment vertical="center"/>
    </xf>
    <xf numFmtId="0" fontId="0" fillId="0" borderId="22" xfId="0" applyBorder="1" applyAlignment="1">
      <alignment vertical="center"/>
    </xf>
    <xf numFmtId="0" fontId="0" fillId="0" borderId="16" xfId="0" applyBorder="1" applyAlignment="1">
      <alignment horizontal="center" vertical="center" wrapText="1"/>
    </xf>
    <xf numFmtId="0" fontId="0" fillId="0" borderId="12" xfId="0" applyBorder="1" applyAlignment="1">
      <alignment horizontal="center" vertical="center"/>
    </xf>
    <xf numFmtId="1" fontId="0" fillId="0" borderId="8" xfId="0" applyNumberFormat="1" applyBorder="1" applyAlignment="1">
      <alignment horizontal="center" vertical="center"/>
    </xf>
    <xf numFmtId="0" fontId="0" fillId="2" borderId="8" xfId="0" applyFill="1"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vertical="center" wrapText="1"/>
    </xf>
    <xf numFmtId="170" fontId="0" fillId="0" borderId="12" xfId="0" applyNumberFormat="1" applyBorder="1" applyAlignment="1">
      <alignment horizontal="center" vertical="center"/>
    </xf>
    <xf numFmtId="1" fontId="0" fillId="0" borderId="11" xfId="0" applyNumberFormat="1" applyBorder="1" applyAlignment="1">
      <alignment horizontal="center" vertical="center"/>
    </xf>
    <xf numFmtId="170" fontId="0" fillId="0" borderId="25" xfId="0" applyNumberFormat="1" applyBorder="1" applyAlignment="1">
      <alignment horizontal="center" vertical="center"/>
    </xf>
    <xf numFmtId="0" fontId="0" fillId="2" borderId="17" xfId="0" applyFill="1" applyBorder="1" applyAlignment="1">
      <alignment vertical="center"/>
    </xf>
    <xf numFmtId="170" fontId="0" fillId="0" borderId="0" xfId="0" applyNumberFormat="1" applyAlignment="1">
      <alignment horizontal="center" vertical="center"/>
    </xf>
    <xf numFmtId="0" fontId="0" fillId="0" borderId="0" xfId="0" applyAlignment="1">
      <alignment vertical="center" wrapText="1"/>
    </xf>
    <xf numFmtId="1" fontId="0" fillId="0" borderId="0" xfId="0" applyNumberFormat="1" applyAlignment="1">
      <alignment horizontal="center" vertical="center"/>
    </xf>
    <xf numFmtId="166" fontId="0" fillId="0" borderId="0" xfId="0" applyNumberFormat="1" applyAlignment="1">
      <alignment horizontal="center" vertical="center"/>
    </xf>
    <xf numFmtId="0" fontId="14" fillId="0" borderId="3" xfId="0" applyFont="1" applyBorder="1" applyAlignment="1">
      <alignment vertical="center" wrapText="1"/>
    </xf>
    <xf numFmtId="166" fontId="5" fillId="9" borderId="2" xfId="1" applyNumberFormat="1" applyFont="1" applyFill="1" applyBorder="1" applyAlignment="1">
      <alignment horizontal="center" vertical="center"/>
    </xf>
    <xf numFmtId="2" fontId="5" fillId="9" borderId="3" xfId="4" applyNumberFormat="1" applyFont="1" applyFill="1" applyBorder="1" applyAlignment="1">
      <alignment horizontal="center" vertical="center"/>
    </xf>
    <xf numFmtId="168" fontId="5" fillId="9" borderId="3" xfId="0" applyNumberFormat="1" applyFont="1" applyFill="1" applyBorder="1" applyAlignment="1">
      <alignment vertical="center"/>
    </xf>
    <xf numFmtId="169" fontId="4" fillId="10" borderId="3" xfId="1" applyNumberFormat="1" applyFont="1" applyFill="1" applyBorder="1" applyAlignment="1">
      <alignment horizontal="center" vertical="center" wrapText="1"/>
    </xf>
    <xf numFmtId="169" fontId="4" fillId="10" borderId="43" xfId="1" applyNumberFormat="1" applyFont="1" applyFill="1" applyBorder="1" applyAlignment="1">
      <alignment horizontal="center" vertical="center" wrapText="1"/>
    </xf>
    <xf numFmtId="169" fontId="4" fillId="10" borderId="44" xfId="1" applyNumberFormat="1" applyFont="1" applyFill="1" applyBorder="1" applyAlignment="1">
      <alignment horizontal="center" vertical="center" wrapText="1"/>
    </xf>
    <xf numFmtId="168" fontId="4" fillId="10" borderId="44" xfId="1" applyNumberFormat="1" applyFont="1" applyFill="1" applyBorder="1" applyAlignment="1">
      <alignment horizontal="center" vertical="center" wrapText="1"/>
    </xf>
    <xf numFmtId="0" fontId="5" fillId="10" borderId="1" xfId="0" applyFont="1" applyFill="1" applyBorder="1" applyAlignment="1">
      <alignment horizontal="center" vertical="center"/>
    </xf>
    <xf numFmtId="0" fontId="5" fillId="10" borderId="4" xfId="0" applyFont="1" applyFill="1" applyBorder="1" applyAlignment="1">
      <alignment horizontal="center" vertical="center"/>
    </xf>
    <xf numFmtId="0" fontId="5" fillId="10" borderId="2" xfId="0" applyFont="1" applyFill="1" applyBorder="1" applyAlignment="1">
      <alignment horizontal="center" vertical="center"/>
    </xf>
    <xf numFmtId="0" fontId="8" fillId="9" borderId="8" xfId="0" applyFont="1" applyFill="1" applyBorder="1" applyAlignment="1">
      <alignment horizontal="center" vertical="center" wrapText="1"/>
    </xf>
    <xf numFmtId="168" fontId="8" fillId="9" borderId="8" xfId="0" applyNumberFormat="1" applyFont="1" applyFill="1" applyBorder="1" applyAlignment="1">
      <alignment horizontal="center" vertical="center" wrapText="1"/>
    </xf>
    <xf numFmtId="168" fontId="8" fillId="9" borderId="11" xfId="0" applyNumberFormat="1" applyFont="1" applyFill="1" applyBorder="1" applyAlignment="1">
      <alignment horizontal="center" vertical="center" wrapText="1"/>
    </xf>
    <xf numFmtId="0" fontId="7" fillId="9" borderId="16" xfId="0" quotePrefix="1" applyFont="1" applyFill="1" applyBorder="1" applyAlignment="1">
      <alignment horizontal="center" vertical="center"/>
    </xf>
    <xf numFmtId="0" fontId="4" fillId="2" borderId="1" xfId="3" applyFont="1" applyFill="1" applyBorder="1" applyAlignment="1">
      <alignment vertical="center"/>
    </xf>
    <xf numFmtId="0" fontId="4" fillId="2" borderId="2" xfId="3" applyFont="1" applyFill="1" applyBorder="1" applyAlignment="1">
      <alignment vertical="center"/>
    </xf>
    <xf numFmtId="0" fontId="12" fillId="7" borderId="46" xfId="5" applyFont="1" applyFill="1" applyBorder="1" applyAlignment="1">
      <alignment vertical="center" wrapText="1"/>
    </xf>
    <xf numFmtId="0" fontId="12" fillId="7" borderId="37" xfId="5" applyFont="1" applyFill="1" applyAlignment="1">
      <alignment horizontal="center" vertical="center" wrapText="1"/>
    </xf>
    <xf numFmtId="0" fontId="12" fillId="7" borderId="47" xfId="5" applyFont="1" applyFill="1" applyBorder="1" applyAlignment="1">
      <alignment vertical="center" wrapText="1"/>
    </xf>
    <xf numFmtId="0" fontId="4" fillId="8" borderId="37" xfId="5" applyFont="1" applyFill="1" applyAlignment="1">
      <alignment horizontal="justify" vertical="center"/>
    </xf>
    <xf numFmtId="170" fontId="12" fillId="7" borderId="37" xfId="5" applyNumberFormat="1" applyFont="1" applyFill="1" applyAlignment="1">
      <alignment horizontal="center" vertical="center" wrapText="1"/>
    </xf>
    <xf numFmtId="168" fontId="4" fillId="0" borderId="3" xfId="1" applyNumberFormat="1" applyFont="1" applyFill="1" applyBorder="1" applyAlignment="1">
      <alignment horizontal="right" vertical="center"/>
    </xf>
    <xf numFmtId="2" fontId="4" fillId="0" borderId="3" xfId="1" applyNumberFormat="1" applyFont="1" applyFill="1" applyBorder="1" applyAlignment="1">
      <alignment horizontal="right" vertical="center"/>
    </xf>
    <xf numFmtId="0" fontId="0" fillId="2" borderId="0" xfId="0" applyFill="1" applyAlignment="1">
      <alignment vertical="center"/>
    </xf>
    <xf numFmtId="170" fontId="0" fillId="2" borderId="0" xfId="0" applyNumberFormat="1" applyFill="1" applyAlignment="1">
      <alignment horizontal="center" vertical="center"/>
    </xf>
    <xf numFmtId="0" fontId="12" fillId="7" borderId="39" xfId="5" applyFont="1" applyFill="1" applyBorder="1" applyAlignment="1">
      <alignment horizontal="center" vertical="center" wrapText="1"/>
    </xf>
    <xf numFmtId="0" fontId="5" fillId="0" borderId="8" xfId="0" applyFont="1" applyBorder="1" applyAlignment="1">
      <alignment horizontal="right" vertical="center" wrapText="1"/>
    </xf>
    <xf numFmtId="0" fontId="22" fillId="3" borderId="8" xfId="0" applyFont="1" applyFill="1" applyBorder="1" applyAlignment="1">
      <alignment horizontal="center" vertical="center" wrapText="1"/>
    </xf>
    <xf numFmtId="0" fontId="12" fillId="7" borderId="48" xfId="5" applyFont="1" applyFill="1" applyBorder="1" applyAlignment="1">
      <alignment horizontal="center" vertical="center" wrapText="1"/>
    </xf>
    <xf numFmtId="169" fontId="12" fillId="11" borderId="43" xfId="1" applyNumberFormat="1" applyFont="1" applyFill="1" applyBorder="1" applyAlignment="1">
      <alignment horizontal="center" vertical="center" wrapText="1"/>
    </xf>
    <xf numFmtId="0" fontId="12" fillId="11" borderId="24" xfId="0" applyFont="1" applyFill="1" applyBorder="1" applyAlignment="1">
      <alignment horizontal="center" vertical="center"/>
    </xf>
    <xf numFmtId="0" fontId="12" fillId="11" borderId="8" xfId="0" applyFont="1" applyFill="1" applyBorder="1" applyAlignment="1">
      <alignment horizontal="left" vertical="center" wrapText="1"/>
    </xf>
    <xf numFmtId="166" fontId="12" fillId="11" borderId="8" xfId="0" applyNumberFormat="1" applyFont="1" applyFill="1" applyBorder="1" applyAlignment="1">
      <alignment horizontal="center" vertical="center" wrapText="1"/>
    </xf>
    <xf numFmtId="166" fontId="12" fillId="11" borderId="8" xfId="0" applyNumberFormat="1" applyFont="1" applyFill="1" applyBorder="1" applyAlignment="1">
      <alignment horizontal="center" vertical="center"/>
    </xf>
    <xf numFmtId="166" fontId="12" fillId="11" borderId="11" xfId="0" applyNumberFormat="1" applyFont="1" applyFill="1" applyBorder="1" applyAlignment="1">
      <alignment horizontal="center" vertical="center"/>
    </xf>
    <xf numFmtId="44" fontId="5" fillId="3" borderId="3" xfId="1" applyFont="1" applyFill="1" applyBorder="1" applyAlignment="1">
      <alignment vertical="center" wrapText="1"/>
    </xf>
    <xf numFmtId="0" fontId="12" fillId="11" borderId="1" xfId="5" applyFont="1" applyFill="1" applyBorder="1" applyAlignment="1">
      <alignment vertical="center" wrapText="1"/>
    </xf>
    <xf numFmtId="0" fontId="12" fillId="11" borderId="4" xfId="5" applyFont="1" applyFill="1" applyBorder="1" applyAlignment="1">
      <alignment horizontal="center" vertical="center" wrapText="1"/>
    </xf>
    <xf numFmtId="0" fontId="23" fillId="11" borderId="4" xfId="5" applyFont="1" applyFill="1" applyBorder="1" applyAlignment="1">
      <alignment horizontal="center" vertical="center" wrapText="1"/>
    </xf>
    <xf numFmtId="0" fontId="19" fillId="11" borderId="4" xfId="5" applyFont="1" applyFill="1" applyBorder="1" applyAlignment="1">
      <alignment vertical="center" wrapText="1"/>
    </xf>
    <xf numFmtId="0" fontId="12" fillId="11" borderId="4" xfId="5" applyFont="1" applyFill="1" applyBorder="1" applyAlignment="1">
      <alignment vertical="center" wrapText="1"/>
    </xf>
    <xf numFmtId="0" fontId="12" fillId="11" borderId="2" xfId="5" applyFont="1" applyFill="1" applyBorder="1" applyAlignment="1">
      <alignment vertical="center" wrapText="1"/>
    </xf>
    <xf numFmtId="0" fontId="0" fillId="0" borderId="23" xfId="0" applyBorder="1" applyAlignment="1">
      <alignment horizontal="center" vertical="center" wrapText="1"/>
    </xf>
    <xf numFmtId="1" fontId="7" fillId="0" borderId="10" xfId="0" applyNumberFormat="1" applyFont="1" applyBorder="1" applyAlignment="1">
      <alignment horizontal="center" vertical="center"/>
    </xf>
    <xf numFmtId="1" fontId="7" fillId="0" borderId="49" xfId="0" applyNumberFormat="1" applyFont="1" applyBorder="1" applyAlignment="1">
      <alignment horizontal="center" vertical="center"/>
    </xf>
    <xf numFmtId="0" fontId="4" fillId="2" borderId="33" xfId="3" applyFont="1" applyFill="1" applyBorder="1" applyAlignment="1">
      <alignment vertical="center"/>
    </xf>
    <xf numFmtId="0" fontId="4" fillId="2" borderId="30" xfId="3" applyFont="1" applyFill="1" applyBorder="1" applyAlignment="1">
      <alignment vertical="center"/>
    </xf>
    <xf numFmtId="166" fontId="5" fillId="2" borderId="30" xfId="1" applyNumberFormat="1" applyFont="1" applyFill="1" applyBorder="1" applyAlignment="1">
      <alignment horizontal="center" vertical="center"/>
    </xf>
    <xf numFmtId="166" fontId="5" fillId="2" borderId="50" xfId="4" applyNumberFormat="1" applyFont="1" applyFill="1" applyBorder="1" applyAlignment="1">
      <alignment horizontal="center" vertical="center"/>
    </xf>
    <xf numFmtId="2" fontId="5" fillId="2" borderId="50" xfId="4" applyNumberFormat="1" applyFont="1" applyFill="1" applyBorder="1" applyAlignment="1">
      <alignment horizontal="center" vertical="center"/>
    </xf>
    <xf numFmtId="168" fontId="5" fillId="0" borderId="50" xfId="0" applyNumberFormat="1" applyFont="1" applyBorder="1" applyAlignment="1">
      <alignment vertical="center"/>
    </xf>
    <xf numFmtId="1" fontId="0" fillId="0" borderId="10" xfId="0" applyNumberFormat="1" applyBorder="1" applyAlignment="1">
      <alignment horizontal="center" vertical="center"/>
    </xf>
    <xf numFmtId="1" fontId="0" fillId="0" borderId="49" xfId="0" applyNumberFormat="1" applyBorder="1" applyAlignment="1">
      <alignment horizontal="center" vertical="center"/>
    </xf>
    <xf numFmtId="0" fontId="0" fillId="2" borderId="0" xfId="0" applyFill="1" applyAlignment="1">
      <alignment vertical="center" wrapText="1"/>
    </xf>
    <xf numFmtId="0" fontId="0" fillId="2" borderId="18" xfId="0" applyFill="1" applyBorder="1" applyAlignment="1">
      <alignment vertical="center" wrapText="1"/>
    </xf>
    <xf numFmtId="0" fontId="5" fillId="2" borderId="17" xfId="0" applyFont="1" applyFill="1" applyBorder="1" applyAlignment="1">
      <alignment horizontal="left" vertical="center"/>
    </xf>
    <xf numFmtId="0" fontId="5" fillId="0" borderId="8" xfId="0" applyFont="1" applyBorder="1" applyAlignment="1">
      <alignment horizontal="center" vertical="center"/>
    </xf>
    <xf numFmtId="0" fontId="0" fillId="0" borderId="0" xfId="0" applyAlignment="1">
      <alignment wrapText="1"/>
    </xf>
    <xf numFmtId="0" fontId="0" fillId="0" borderId="8" xfId="0" applyBorder="1" applyAlignment="1">
      <alignment horizontal="right" vertical="center" wrapText="1"/>
    </xf>
    <xf numFmtId="0" fontId="5" fillId="0" borderId="0" xfId="0" applyFont="1" applyAlignment="1">
      <alignment horizontal="center" vertical="center" wrapText="1"/>
    </xf>
    <xf numFmtId="2" fontId="0" fillId="0" borderId="8" xfId="0" applyNumberFormat="1" applyBorder="1" applyAlignment="1">
      <alignment horizontal="center" vertical="center"/>
    </xf>
    <xf numFmtId="0" fontId="5" fillId="0" borderId="8" xfId="0" applyFont="1" applyBorder="1" applyAlignment="1">
      <alignment horizontal="center" vertical="center" wrapText="1"/>
    </xf>
    <xf numFmtId="0" fontId="0" fillId="0" borderId="11" xfId="0" applyBorder="1" applyAlignment="1">
      <alignment horizontal="left" vertical="center" wrapText="1"/>
    </xf>
    <xf numFmtId="0" fontId="0" fillId="2" borderId="12" xfId="0" applyFill="1" applyBorder="1" applyAlignment="1">
      <alignment horizontal="center" vertical="center"/>
    </xf>
    <xf numFmtId="0" fontId="4" fillId="8" borderId="51" xfId="5" applyFont="1" applyFill="1" applyBorder="1" applyAlignment="1">
      <alignment horizontal="justify" vertical="center"/>
    </xf>
    <xf numFmtId="0" fontId="4" fillId="8" borderId="52" xfId="5" applyFont="1" applyFill="1" applyBorder="1" applyAlignment="1">
      <alignment horizontal="justify" vertical="center"/>
    </xf>
    <xf numFmtId="0" fontId="0" fillId="0" borderId="11" xfId="0" applyBorder="1" applyAlignment="1">
      <alignment wrapText="1"/>
    </xf>
    <xf numFmtId="0" fontId="0" fillId="0" borderId="11" xfId="0" applyBorder="1" applyAlignment="1">
      <alignment vertical="center" wrapText="1"/>
    </xf>
    <xf numFmtId="0" fontId="0" fillId="0" borderId="8" xfId="0" applyBorder="1"/>
    <xf numFmtId="0" fontId="0" fillId="0" borderId="8" xfId="0" applyBorder="1" applyAlignment="1">
      <alignment wrapText="1"/>
    </xf>
    <xf numFmtId="0" fontId="24" fillId="3" borderId="11" xfId="0" applyFont="1" applyFill="1" applyBorder="1" applyAlignment="1">
      <alignment horizontal="left" vertical="center" wrapText="1"/>
    </xf>
    <xf numFmtId="0" fontId="5" fillId="0" borderId="8" xfId="0" applyFont="1" applyBorder="1" applyAlignment="1">
      <alignment horizontal="center"/>
    </xf>
    <xf numFmtId="0" fontId="11" fillId="3" borderId="8" xfId="0" applyFont="1" applyFill="1" applyBorder="1" applyAlignment="1">
      <alignment horizontal="center"/>
    </xf>
    <xf numFmtId="0" fontId="4" fillId="0" borderId="8" xfId="0" applyFont="1" applyBorder="1" applyAlignment="1">
      <alignment horizontal="center" vertical="center" wrapText="1"/>
    </xf>
    <xf numFmtId="0" fontId="5" fillId="0" borderId="8" xfId="0" applyFont="1" applyBorder="1" applyAlignment="1">
      <alignment vertical="center" wrapText="1"/>
    </xf>
    <xf numFmtId="0" fontId="5" fillId="0" borderId="8" xfId="0" applyFont="1" applyBorder="1" applyAlignment="1">
      <alignment wrapText="1"/>
    </xf>
    <xf numFmtId="170" fontId="15" fillId="0" borderId="8" xfId="0" applyNumberFormat="1" applyFont="1" applyBorder="1" applyAlignment="1">
      <alignment horizontal="center" vertical="center" wrapText="1"/>
    </xf>
    <xf numFmtId="171" fontId="10" fillId="0" borderId="8" xfId="0" applyNumberFormat="1" applyFont="1" applyBorder="1" applyAlignment="1">
      <alignment vertical="center"/>
    </xf>
    <xf numFmtId="173" fontId="0" fillId="0" borderId="8" xfId="0" applyNumberFormat="1" applyBorder="1" applyAlignment="1">
      <alignment horizontal="center" vertical="center"/>
    </xf>
    <xf numFmtId="174" fontId="0" fillId="2" borderId="8" xfId="4" applyNumberFormat="1" applyFont="1" applyFill="1" applyBorder="1" applyAlignment="1">
      <alignment horizontal="center" vertical="center"/>
    </xf>
    <xf numFmtId="171" fontId="3" fillId="12" borderId="8" xfId="1" applyNumberFormat="1" applyFont="1" applyFill="1" applyBorder="1" applyAlignment="1">
      <alignment horizontal="center" vertical="center"/>
    </xf>
    <xf numFmtId="2" fontId="0" fillId="12" borderId="8" xfId="4" applyNumberFormat="1" applyFont="1" applyFill="1" applyBorder="1" applyAlignment="1">
      <alignment horizontal="center" vertical="center"/>
    </xf>
    <xf numFmtId="0" fontId="0" fillId="0" borderId="7" xfId="0" applyBorder="1" applyAlignment="1">
      <alignment horizontal="left" vertical="center"/>
    </xf>
    <xf numFmtId="0" fontId="0" fillId="0" borderId="8" xfId="0" applyBorder="1" applyAlignment="1">
      <alignment horizontal="left" vertical="center"/>
    </xf>
    <xf numFmtId="171" fontId="3" fillId="13" borderId="8" xfId="1" applyNumberFormat="1" applyFont="1" applyFill="1" applyBorder="1" applyAlignment="1">
      <alignment horizontal="center" vertical="center"/>
    </xf>
    <xf numFmtId="170" fontId="15" fillId="0" borderId="53" xfId="0" applyNumberFormat="1" applyFont="1" applyBorder="1" applyAlignment="1">
      <alignment horizontal="center" vertical="center" wrapText="1"/>
    </xf>
    <xf numFmtId="0" fontId="4" fillId="8" borderId="8" xfId="5" applyFont="1" applyFill="1" applyBorder="1" applyAlignment="1">
      <alignment horizontal="left" vertical="center"/>
    </xf>
    <xf numFmtId="1" fontId="0" fillId="0" borderId="12" xfId="0" applyNumberFormat="1" applyBorder="1" applyAlignment="1">
      <alignment horizontal="center" vertical="center"/>
    </xf>
    <xf numFmtId="171" fontId="3" fillId="0" borderId="8" xfId="1" applyNumberFormat="1" applyFont="1" applyFill="1" applyBorder="1" applyAlignment="1">
      <alignment horizontal="center" vertical="center"/>
    </xf>
    <xf numFmtId="0" fontId="25" fillId="0" borderId="8" xfId="0" applyFont="1" applyBorder="1" applyAlignment="1">
      <alignment vertical="center"/>
    </xf>
    <xf numFmtId="0" fontId="0" fillId="0" borderId="12" xfId="0" applyBorder="1" applyAlignment="1">
      <alignment horizontal="center" vertical="center" wrapText="1"/>
    </xf>
    <xf numFmtId="0" fontId="0" fillId="2" borderId="8" xfId="0" applyFill="1" applyBorder="1" applyAlignment="1">
      <alignment horizontal="center" vertical="center" wrapText="1"/>
    </xf>
    <xf numFmtId="9" fontId="3" fillId="2" borderId="8" xfId="2" applyFont="1" applyFill="1" applyBorder="1" applyAlignment="1">
      <alignment horizontal="center" vertical="center" wrapText="1"/>
    </xf>
    <xf numFmtId="1" fontId="3" fillId="2" borderId="8" xfId="3" applyNumberFormat="1" applyFont="1" applyFill="1" applyBorder="1" applyAlignment="1">
      <alignment horizontal="center" vertical="center" wrapText="1"/>
    </xf>
    <xf numFmtId="171" fontId="3" fillId="0" borderId="8" xfId="1" applyNumberFormat="1" applyFont="1" applyFill="1" applyBorder="1" applyAlignment="1">
      <alignment horizontal="center" vertical="center" wrapText="1"/>
    </xf>
    <xf numFmtId="171" fontId="0" fillId="2" borderId="8" xfId="1" applyNumberFormat="1" applyFont="1" applyFill="1" applyBorder="1" applyAlignment="1">
      <alignment horizontal="center" vertical="center" wrapText="1"/>
    </xf>
    <xf numFmtId="2" fontId="0" fillId="2" borderId="8" xfId="4" applyNumberFormat="1" applyFont="1" applyFill="1" applyBorder="1" applyAlignment="1">
      <alignment horizontal="center" vertical="center" wrapText="1"/>
    </xf>
    <xf numFmtId="171" fontId="0" fillId="2" borderId="11" xfId="1" applyNumberFormat="1" applyFont="1" applyFill="1" applyBorder="1" applyAlignment="1">
      <alignment horizontal="center" vertical="center" wrapText="1"/>
    </xf>
    <xf numFmtId="165" fontId="10" fillId="0" borderId="9" xfId="0" applyNumberFormat="1" applyFont="1" applyBorder="1" applyAlignment="1">
      <alignment vertical="center" wrapText="1"/>
    </xf>
    <xf numFmtId="1" fontId="0" fillId="0" borderId="12" xfId="0" applyNumberFormat="1" applyBorder="1" applyAlignment="1">
      <alignment horizontal="center" vertical="center" wrapText="1"/>
    </xf>
    <xf numFmtId="171" fontId="3" fillId="14" borderId="8" xfId="1" applyNumberFormat="1" applyFont="1" applyFill="1" applyBorder="1" applyAlignment="1">
      <alignment horizontal="center" vertical="center"/>
    </xf>
    <xf numFmtId="2" fontId="0" fillId="14" borderId="8" xfId="4" applyNumberFormat="1" applyFont="1" applyFill="1" applyBorder="1" applyAlignment="1">
      <alignment horizontal="center" vertical="center"/>
    </xf>
    <xf numFmtId="0" fontId="24" fillId="0" borderId="8" xfId="0" applyFont="1" applyBorder="1" applyAlignment="1">
      <alignment vertical="center"/>
    </xf>
    <xf numFmtId="171" fontId="0" fillId="0" borderId="12" xfId="0" applyNumberFormat="1" applyBorder="1" applyAlignment="1">
      <alignment horizontal="center" vertical="center"/>
    </xf>
    <xf numFmtId="0" fontId="24" fillId="0" borderId="8" xfId="0" applyFont="1" applyBorder="1" applyAlignment="1">
      <alignment horizontal="left" vertical="center"/>
    </xf>
    <xf numFmtId="0" fontId="10" fillId="0" borderId="30" xfId="0" applyFont="1" applyBorder="1" applyAlignment="1">
      <alignment vertical="center"/>
    </xf>
    <xf numFmtId="0" fontId="1" fillId="0" borderId="0" xfId="0" applyFont="1" applyAlignment="1">
      <alignment vertical="center"/>
    </xf>
    <xf numFmtId="167" fontId="4" fillId="0" borderId="3" xfId="6" applyNumberFormat="1" applyFont="1" applyBorder="1" applyAlignment="1">
      <alignment horizontal="center" vertical="center" wrapText="1"/>
    </xf>
    <xf numFmtId="168" fontId="4" fillId="0" borderId="3" xfId="6" applyNumberFormat="1" applyFont="1" applyBorder="1" applyAlignment="1">
      <alignment horizontal="center" vertical="center" wrapText="1"/>
    </xf>
    <xf numFmtId="0" fontId="10" fillId="0" borderId="3" xfId="0" applyFont="1" applyBorder="1" applyAlignment="1">
      <alignment vertical="center"/>
    </xf>
    <xf numFmtId="166" fontId="1" fillId="0" borderId="54" xfId="1" applyNumberFormat="1" applyFont="1" applyFill="1" applyBorder="1" applyAlignment="1">
      <alignment horizontal="center" vertical="center"/>
    </xf>
    <xf numFmtId="166" fontId="1" fillId="0" borderId="55" xfId="1" applyNumberFormat="1" applyFont="1" applyFill="1" applyBorder="1" applyAlignment="1">
      <alignment horizontal="center" vertical="center"/>
    </xf>
    <xf numFmtId="166" fontId="5" fillId="4" borderId="3" xfId="1" applyNumberFormat="1" applyFont="1" applyFill="1" applyBorder="1" applyAlignment="1">
      <alignment horizontal="center" vertical="center"/>
    </xf>
    <xf numFmtId="167" fontId="1" fillId="0" borderId="54" xfId="6" applyNumberFormat="1" applyBorder="1" applyAlignment="1">
      <alignment horizontal="center" vertical="center"/>
    </xf>
    <xf numFmtId="167" fontId="1" fillId="0" borderId="5" xfId="6" applyNumberFormat="1" applyBorder="1" applyAlignment="1">
      <alignment horizontal="center" vertical="center"/>
    </xf>
    <xf numFmtId="168" fontId="1" fillId="0" borderId="45" xfId="6" applyNumberFormat="1" applyBorder="1" applyAlignment="1">
      <alignment horizontal="center" vertical="center"/>
    </xf>
    <xf numFmtId="0" fontId="10" fillId="0" borderId="26" xfId="0" applyFont="1" applyBorder="1" applyAlignment="1">
      <alignment vertical="center"/>
    </xf>
    <xf numFmtId="1" fontId="1" fillId="0" borderId="56" xfId="0" applyNumberFormat="1" applyFont="1" applyBorder="1" applyAlignment="1">
      <alignment horizontal="center" vertical="center" wrapText="1"/>
    </xf>
    <xf numFmtId="9" fontId="3" fillId="2" borderId="7" xfId="2" applyFont="1" applyFill="1" applyBorder="1" applyAlignment="1">
      <alignment horizontal="center" vertical="center"/>
    </xf>
    <xf numFmtId="1" fontId="3" fillId="2" borderId="7" xfId="3" applyNumberFormat="1" applyFont="1" applyFill="1" applyBorder="1" applyAlignment="1">
      <alignment horizontal="center" vertical="center"/>
    </xf>
    <xf numFmtId="166" fontId="3" fillId="2" borderId="8" xfId="1" applyNumberFormat="1" applyFont="1" applyFill="1" applyBorder="1" applyAlignment="1">
      <alignment horizontal="center" vertical="center"/>
    </xf>
    <xf numFmtId="166" fontId="1" fillId="2" borderId="8" xfId="6" applyNumberFormat="1" applyFill="1" applyBorder="1" applyAlignment="1">
      <alignment horizontal="center" vertical="center"/>
    </xf>
    <xf numFmtId="166" fontId="1" fillId="2" borderId="7" xfId="1" applyNumberFormat="1" applyFont="1" applyFill="1" applyBorder="1" applyAlignment="1">
      <alignment horizontal="center" vertical="center"/>
    </xf>
    <xf numFmtId="167" fontId="1" fillId="2" borderId="8" xfId="6" applyNumberFormat="1" applyFill="1" applyBorder="1" applyAlignment="1">
      <alignment horizontal="center" vertical="center"/>
    </xf>
    <xf numFmtId="166" fontId="1" fillId="2" borderId="8" xfId="1" applyNumberFormat="1" applyFont="1" applyFill="1" applyBorder="1" applyAlignment="1">
      <alignment horizontal="center" vertical="center"/>
    </xf>
    <xf numFmtId="168" fontId="1" fillId="2" borderId="11" xfId="6" applyNumberFormat="1" applyFill="1" applyBorder="1" applyAlignment="1">
      <alignment horizontal="center" vertical="center"/>
    </xf>
    <xf numFmtId="0" fontId="10" fillId="0" borderId="9" xfId="0" applyFont="1" applyBorder="1" applyAlignment="1">
      <alignment vertical="center"/>
    </xf>
    <xf numFmtId="0" fontId="1" fillId="0" borderId="16" xfId="0" applyFont="1" applyBorder="1" applyAlignment="1">
      <alignment horizontal="center" vertical="center"/>
    </xf>
    <xf numFmtId="166" fontId="0" fillId="0" borderId="8" xfId="0" applyNumberFormat="1" applyBorder="1" applyAlignment="1">
      <alignment vertical="center"/>
    </xf>
    <xf numFmtId="166" fontId="0" fillId="0" borderId="8" xfId="6" applyNumberFormat="1" applyFont="1" applyBorder="1" applyAlignment="1">
      <alignment vertical="center"/>
    </xf>
    <xf numFmtId="167" fontId="0" fillId="0" borderId="8" xfId="6" applyNumberFormat="1" applyFont="1" applyBorder="1" applyAlignment="1">
      <alignment vertical="center"/>
    </xf>
    <xf numFmtId="168" fontId="0" fillId="0" borderId="11" xfId="0" applyNumberFormat="1" applyBorder="1" applyAlignment="1">
      <alignment vertical="center"/>
    </xf>
    <xf numFmtId="167" fontId="0" fillId="0" borderId="8" xfId="6" applyNumberFormat="1" applyFont="1" applyBorder="1" applyAlignment="1">
      <alignment horizontal="center" vertical="center"/>
    </xf>
    <xf numFmtId="168" fontId="0" fillId="0" borderId="11" xfId="6" applyNumberFormat="1" applyFont="1" applyBorder="1" applyAlignment="1">
      <alignment vertical="center"/>
    </xf>
    <xf numFmtId="1" fontId="3" fillId="0" borderId="8" xfId="3" applyNumberFormat="1" applyFont="1" applyBorder="1" applyAlignment="1">
      <alignment horizontal="center" vertical="center"/>
    </xf>
    <xf numFmtId="9" fontId="3" fillId="0" borderId="8" xfId="2" applyFont="1" applyFill="1" applyBorder="1" applyAlignment="1">
      <alignment horizontal="center" vertical="center"/>
    </xf>
    <xf numFmtId="0" fontId="1" fillId="0" borderId="25" xfId="0" applyFont="1" applyBorder="1" applyAlignment="1">
      <alignment horizontal="center" vertical="center"/>
    </xf>
    <xf numFmtId="166" fontId="1" fillId="0" borderId="8" xfId="1" applyNumberFormat="1" applyFont="1" applyFill="1" applyBorder="1" applyAlignment="1">
      <alignment horizontal="center" vertical="center"/>
    </xf>
    <xf numFmtId="166" fontId="1" fillId="0" borderId="8" xfId="6" applyNumberFormat="1" applyBorder="1" applyAlignment="1">
      <alignment horizontal="center" vertical="center"/>
    </xf>
    <xf numFmtId="166" fontId="0" fillId="0" borderId="8" xfId="1" applyNumberFormat="1" applyFont="1" applyFill="1" applyBorder="1" applyAlignment="1">
      <alignment horizontal="center" vertical="center"/>
    </xf>
    <xf numFmtId="167" fontId="1" fillId="0" borderId="8" xfId="6" applyNumberFormat="1" applyBorder="1" applyAlignment="1">
      <alignment horizontal="center" vertical="center"/>
    </xf>
    <xf numFmtId="168" fontId="0" fillId="0" borderId="11" xfId="6" applyNumberFormat="1" applyFont="1" applyBorder="1" applyAlignment="1">
      <alignment horizontal="center" vertical="center"/>
    </xf>
    <xf numFmtId="0" fontId="1" fillId="0" borderId="12" xfId="0" applyFont="1" applyBorder="1" applyAlignment="1">
      <alignment horizontal="center" vertical="center"/>
    </xf>
    <xf numFmtId="1" fontId="1" fillId="0" borderId="8" xfId="0" applyNumberFormat="1" applyFont="1" applyBorder="1" applyAlignment="1">
      <alignment horizontal="center" vertical="center" wrapText="1"/>
    </xf>
    <xf numFmtId="0" fontId="1" fillId="0" borderId="56" xfId="0" applyFont="1" applyBorder="1" applyAlignment="1">
      <alignment horizontal="center" vertical="center"/>
    </xf>
    <xf numFmtId="0" fontId="0" fillId="0" borderId="7" xfId="0" applyBorder="1" applyAlignment="1">
      <alignment vertical="center"/>
    </xf>
    <xf numFmtId="0" fontId="1" fillId="0" borderId="10" xfId="0" applyFont="1" applyBorder="1" applyAlignment="1">
      <alignment vertical="center"/>
    </xf>
    <xf numFmtId="1" fontId="1" fillId="0" borderId="8" xfId="0" applyNumberFormat="1" applyFont="1" applyBorder="1" applyAlignment="1">
      <alignment horizontal="center" vertical="center"/>
    </xf>
    <xf numFmtId="168" fontId="1" fillId="0" borderId="11" xfId="6" applyNumberFormat="1" applyBorder="1" applyAlignment="1">
      <alignment horizontal="center" vertical="center"/>
    </xf>
    <xf numFmtId="1" fontId="1" fillId="0" borderId="12" xfId="0" applyNumberFormat="1" applyFont="1" applyBorder="1" applyAlignment="1">
      <alignment horizontal="center" vertical="center" wrapText="1"/>
    </xf>
    <xf numFmtId="166" fontId="3" fillId="0" borderId="8" xfId="1" applyNumberFormat="1" applyFont="1" applyFill="1" applyBorder="1" applyAlignment="1">
      <alignment horizontal="center" vertical="center"/>
    </xf>
    <xf numFmtId="0" fontId="27" fillId="0" borderId="8" xfId="0" applyFont="1" applyBorder="1" applyAlignment="1">
      <alignment horizontal="left" vertical="center"/>
    </xf>
    <xf numFmtId="1" fontId="1" fillId="0" borderId="12" xfId="0" applyNumberFormat="1" applyFont="1" applyBorder="1" applyAlignment="1">
      <alignment horizontal="center" vertical="center"/>
    </xf>
    <xf numFmtId="166" fontId="0" fillId="3" borderId="8" xfId="0" applyNumberFormat="1" applyFill="1" applyBorder="1" applyAlignment="1">
      <alignment vertical="center"/>
    </xf>
    <xf numFmtId="1" fontId="3" fillId="2" borderId="10" xfId="3" applyNumberFormat="1" applyFont="1" applyFill="1" applyBorder="1" applyAlignment="1">
      <alignment horizontal="center" vertical="center"/>
    </xf>
    <xf numFmtId="166" fontId="1" fillId="2" borderId="10" xfId="1" applyNumberFormat="1" applyFont="1" applyFill="1" applyBorder="1" applyAlignment="1">
      <alignment horizontal="center" vertical="center"/>
    </xf>
    <xf numFmtId="166" fontId="0" fillId="2" borderId="10" xfId="1" applyNumberFormat="1" applyFont="1" applyFill="1" applyBorder="1" applyAlignment="1">
      <alignment horizontal="center" vertical="center"/>
    </xf>
    <xf numFmtId="167" fontId="1" fillId="2" borderId="10" xfId="6" applyNumberFormat="1" applyFill="1" applyBorder="1" applyAlignment="1">
      <alignment horizontal="center" vertical="center"/>
    </xf>
    <xf numFmtId="167" fontId="0" fillId="2" borderId="10" xfId="6" applyNumberFormat="1" applyFont="1" applyFill="1" applyBorder="1" applyAlignment="1">
      <alignment horizontal="center" vertical="center"/>
    </xf>
    <xf numFmtId="168" fontId="0" fillId="2" borderId="8" xfId="6" applyNumberFormat="1" applyFont="1" applyFill="1" applyBorder="1" applyAlignment="1">
      <alignment horizontal="center" vertical="center"/>
    </xf>
    <xf numFmtId="0" fontId="10" fillId="0" borderId="18" xfId="0" applyFont="1" applyBorder="1" applyAlignment="1">
      <alignment vertical="center"/>
    </xf>
    <xf numFmtId="0" fontId="6" fillId="0" borderId="16" xfId="0" applyFont="1" applyBorder="1" applyAlignment="1">
      <alignment horizontal="center" vertical="center"/>
    </xf>
    <xf numFmtId="0" fontId="6" fillId="0" borderId="10" xfId="0" applyFont="1" applyBorder="1" applyAlignment="1">
      <alignment vertical="center"/>
    </xf>
    <xf numFmtId="1" fontId="6" fillId="0" borderId="8" xfId="0" applyNumberFormat="1" applyFont="1" applyBorder="1" applyAlignment="1">
      <alignment horizontal="center" vertical="center"/>
    </xf>
    <xf numFmtId="1" fontId="6" fillId="0" borderId="11" xfId="0" applyNumberFormat="1" applyFont="1" applyBorder="1" applyAlignment="1">
      <alignment horizontal="center" vertical="center"/>
    </xf>
    <xf numFmtId="166" fontId="28" fillId="2" borderId="2" xfId="1" applyNumberFormat="1" applyFont="1" applyFill="1" applyBorder="1" applyAlignment="1">
      <alignment horizontal="center" vertical="center"/>
    </xf>
    <xf numFmtId="166" fontId="28" fillId="2" borderId="3" xfId="6" applyNumberFormat="1" applyFont="1" applyFill="1" applyBorder="1" applyAlignment="1">
      <alignment horizontal="center" vertical="center"/>
    </xf>
    <xf numFmtId="2" fontId="28" fillId="2" borderId="3" xfId="6" applyNumberFormat="1" applyFont="1" applyFill="1" applyBorder="1" applyAlignment="1">
      <alignment horizontal="center" vertical="center"/>
    </xf>
    <xf numFmtId="168" fontId="28" fillId="0" borderId="3" xfId="0" applyNumberFormat="1" applyFont="1" applyBorder="1" applyAlignment="1">
      <alignment vertical="center"/>
    </xf>
    <xf numFmtId="0" fontId="1" fillId="0" borderId="23" xfId="0" applyFont="1" applyBorder="1" applyAlignment="1">
      <alignment horizontal="center" vertical="center"/>
    </xf>
    <xf numFmtId="9" fontId="3" fillId="2" borderId="10" xfId="2" applyFont="1" applyFill="1" applyBorder="1" applyAlignment="1">
      <alignment horizontal="center" vertical="center"/>
    </xf>
    <xf numFmtId="1" fontId="3" fillId="2" borderId="13" xfId="3" applyNumberFormat="1" applyFont="1" applyFill="1" applyBorder="1" applyAlignment="1">
      <alignment horizontal="center" vertical="center"/>
    </xf>
    <xf numFmtId="166" fontId="3" fillId="2" borderId="12" xfId="1" applyNumberFormat="1" applyFont="1" applyFill="1" applyBorder="1" applyAlignment="1">
      <alignment horizontal="center" vertical="center"/>
    </xf>
    <xf numFmtId="0" fontId="0" fillId="0" borderId="7" xfId="0" applyBorder="1" applyAlignment="1">
      <alignment horizontal="center" vertical="center"/>
    </xf>
    <xf numFmtId="0" fontId="0" fillId="0" borderId="7" xfId="0" applyBorder="1" applyAlignment="1">
      <alignment vertical="center" wrapText="1"/>
    </xf>
    <xf numFmtId="9" fontId="0" fillId="0" borderId="8" xfId="2" applyFont="1" applyBorder="1" applyAlignment="1">
      <alignment horizontal="center" vertical="center"/>
    </xf>
    <xf numFmtId="168" fontId="0" fillId="2" borderId="11" xfId="6" applyNumberFormat="1" applyFont="1" applyFill="1" applyBorder="1" applyAlignment="1">
      <alignment horizontal="center" vertical="center"/>
    </xf>
    <xf numFmtId="0" fontId="1" fillId="0" borderId="24" xfId="0" applyFont="1" applyBorder="1" applyAlignment="1">
      <alignment horizontal="center" vertical="center"/>
    </xf>
    <xf numFmtId="0" fontId="1" fillId="0" borderId="57" xfId="0" applyFont="1" applyBorder="1" applyAlignment="1">
      <alignment horizontal="center" vertical="center"/>
    </xf>
    <xf numFmtId="0" fontId="1" fillId="0" borderId="13" xfId="0" applyFont="1" applyBorder="1" applyAlignment="1">
      <alignment horizontal="left" vertical="center"/>
    </xf>
    <xf numFmtId="1" fontId="1" fillId="0" borderId="7" xfId="0" applyNumberFormat="1" applyFont="1" applyBorder="1" applyAlignment="1">
      <alignment horizontal="center" vertical="center" wrapText="1"/>
    </xf>
    <xf numFmtId="0" fontId="0" fillId="0" borderId="8" xfId="0" applyBorder="1" applyAlignment="1">
      <alignment horizontal="center" vertical="center" wrapText="1"/>
    </xf>
    <xf numFmtId="1" fontId="1" fillId="2" borderId="8" xfId="0" applyNumberFormat="1" applyFont="1" applyFill="1" applyBorder="1" applyAlignment="1">
      <alignment horizontal="center" vertical="center" wrapText="1"/>
    </xf>
    <xf numFmtId="175" fontId="10" fillId="0" borderId="9" xfId="0" applyNumberFormat="1" applyFont="1" applyBorder="1" applyAlignment="1">
      <alignment vertical="center"/>
    </xf>
    <xf numFmtId="166" fontId="28" fillId="2" borderId="29" xfId="1" applyNumberFormat="1" applyFont="1" applyFill="1" applyBorder="1" applyAlignment="1">
      <alignment horizontal="center" vertical="center"/>
    </xf>
    <xf numFmtId="0" fontId="1" fillId="0" borderId="10" xfId="0" applyFont="1" applyBorder="1" applyAlignment="1">
      <alignment horizontal="left" vertical="center"/>
    </xf>
    <xf numFmtId="1" fontId="1" fillId="0" borderId="10" xfId="0" applyNumberFormat="1" applyFont="1" applyBorder="1" applyAlignment="1">
      <alignment horizontal="center" vertical="center" wrapText="1"/>
    </xf>
    <xf numFmtId="0" fontId="0" fillId="0" borderId="7" xfId="0" applyBorder="1" applyAlignment="1">
      <alignment horizontal="left" vertical="center" wrapText="1"/>
    </xf>
    <xf numFmtId="166" fontId="1" fillId="0" borderId="8" xfId="0" applyNumberFormat="1" applyFont="1" applyBorder="1" applyAlignment="1">
      <alignment horizontal="center" vertical="center"/>
    </xf>
    <xf numFmtId="166" fontId="1" fillId="0" borderId="8" xfId="6" applyNumberFormat="1" applyBorder="1" applyAlignment="1">
      <alignment vertical="center"/>
    </xf>
    <xf numFmtId="167" fontId="1" fillId="0" borderId="8" xfId="6" applyNumberFormat="1" applyBorder="1" applyAlignment="1">
      <alignment vertical="center"/>
    </xf>
    <xf numFmtId="0" fontId="1" fillId="0" borderId="8" xfId="0" applyFont="1" applyBorder="1" applyAlignment="1">
      <alignment horizontal="left" vertical="center"/>
    </xf>
    <xf numFmtId="0" fontId="1" fillId="0" borderId="8" xfId="0" applyFont="1" applyBorder="1" applyAlignment="1">
      <alignment horizontal="left" vertical="center" wrapText="1"/>
    </xf>
    <xf numFmtId="9" fontId="1" fillId="0" borderId="8" xfId="2" applyFont="1" applyBorder="1" applyAlignment="1">
      <alignment horizontal="center" vertical="center"/>
    </xf>
    <xf numFmtId="0" fontId="29" fillId="0" borderId="8" xfId="0" applyFont="1" applyBorder="1" applyAlignment="1">
      <alignment horizontal="left" vertical="center"/>
    </xf>
    <xf numFmtId="0" fontId="29" fillId="0" borderId="8" xfId="0" applyFont="1" applyBorder="1" applyAlignment="1">
      <alignment horizontal="left" vertical="center" wrapText="1"/>
    </xf>
    <xf numFmtId="1" fontId="29" fillId="0" borderId="8" xfId="0" applyNumberFormat="1" applyFont="1" applyBorder="1" applyAlignment="1">
      <alignment horizontal="center" vertical="center" wrapText="1"/>
    </xf>
    <xf numFmtId="0" fontId="1" fillId="2" borderId="23"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2" borderId="25" xfId="0" applyFont="1" applyFill="1" applyBorder="1" applyAlignment="1">
      <alignment horizontal="center" vertical="center" wrapText="1"/>
    </xf>
    <xf numFmtId="0" fontId="1" fillId="2" borderId="10" xfId="0" applyFont="1" applyFill="1" applyBorder="1" applyAlignment="1">
      <alignment horizontal="left" vertical="center"/>
    </xf>
    <xf numFmtId="1" fontId="1" fillId="2" borderId="10" xfId="0" applyNumberFormat="1" applyFont="1" applyFill="1" applyBorder="1" applyAlignment="1">
      <alignment horizontal="center" vertical="center" wrapText="1"/>
    </xf>
    <xf numFmtId="167" fontId="1" fillId="2" borderId="7" xfId="6" applyNumberFormat="1" applyFill="1" applyBorder="1" applyAlignment="1">
      <alignment horizontal="center" vertical="center"/>
    </xf>
    <xf numFmtId="166" fontId="1" fillId="14" borderId="8" xfId="1" applyNumberFormat="1" applyFont="1" applyFill="1" applyBorder="1" applyAlignment="1">
      <alignment horizontal="center" vertical="center"/>
    </xf>
    <xf numFmtId="0" fontId="10" fillId="0" borderId="31" xfId="0" applyFont="1" applyBorder="1" applyAlignment="1">
      <alignment vertical="center"/>
    </xf>
    <xf numFmtId="9" fontId="3" fillId="0" borderId="7" xfId="2" applyFont="1" applyFill="1" applyBorder="1" applyAlignment="1">
      <alignment horizontal="center" vertical="center"/>
    </xf>
    <xf numFmtId="1" fontId="3" fillId="0" borderId="7" xfId="3" applyNumberFormat="1" applyFont="1" applyBorder="1" applyAlignment="1">
      <alignment horizontal="center" vertical="center"/>
    </xf>
    <xf numFmtId="9" fontId="0" fillId="0" borderId="8" xfId="2" applyFont="1" applyFill="1" applyBorder="1" applyAlignment="1">
      <alignment horizontal="center" vertical="center"/>
    </xf>
    <xf numFmtId="9" fontId="0" fillId="0" borderId="10" xfId="2" applyFont="1" applyFill="1" applyBorder="1" applyAlignment="1">
      <alignment horizontal="center" vertical="center"/>
    </xf>
    <xf numFmtId="1" fontId="3" fillId="0" borderId="10" xfId="3" applyNumberFormat="1" applyFont="1" applyBorder="1" applyAlignment="1">
      <alignment horizontal="center" vertical="center"/>
    </xf>
    <xf numFmtId="166" fontId="0" fillId="0" borderId="10" xfId="0" applyNumberFormat="1" applyBorder="1" applyAlignment="1">
      <alignment vertical="center"/>
    </xf>
    <xf numFmtId="166" fontId="0" fillId="0" borderId="10" xfId="6" applyNumberFormat="1" applyFont="1" applyBorder="1" applyAlignment="1">
      <alignment vertical="center"/>
    </xf>
    <xf numFmtId="167" fontId="0" fillId="0" borderId="10" xfId="6" applyNumberFormat="1" applyFont="1" applyBorder="1" applyAlignment="1">
      <alignment vertical="center"/>
    </xf>
    <xf numFmtId="168" fontId="0" fillId="0" borderId="8" xfId="6" applyNumberFormat="1" applyFont="1" applyBorder="1" applyAlignment="1">
      <alignment horizontal="center" vertical="center"/>
    </xf>
    <xf numFmtId="0" fontId="1" fillId="0" borderId="17" xfId="0" applyFont="1" applyBorder="1" applyAlignment="1">
      <alignment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166" fontId="1" fillId="0" borderId="0" xfId="6" applyNumberFormat="1" applyAlignment="1">
      <alignment horizontal="center" vertical="center"/>
    </xf>
    <xf numFmtId="166" fontId="1" fillId="0" borderId="0" xfId="0" applyNumberFormat="1" applyFont="1" applyAlignment="1">
      <alignment horizontal="center" vertical="center"/>
    </xf>
    <xf numFmtId="167" fontId="1" fillId="0" borderId="0" xfId="6" applyNumberFormat="1" applyAlignment="1">
      <alignment vertical="center"/>
    </xf>
    <xf numFmtId="166" fontId="1" fillId="0" borderId="0" xfId="0" applyNumberFormat="1" applyFont="1" applyAlignment="1">
      <alignment vertical="center"/>
    </xf>
    <xf numFmtId="168" fontId="1" fillId="0" borderId="0" xfId="6" applyNumberFormat="1" applyAlignment="1">
      <alignment vertical="center"/>
    </xf>
    <xf numFmtId="167" fontId="0" fillId="0" borderId="17" xfId="6" applyNumberFormat="1" applyFont="1" applyBorder="1" applyAlignment="1">
      <alignment horizontal="center" vertical="center"/>
    </xf>
    <xf numFmtId="167" fontId="1" fillId="0" borderId="17" xfId="6" applyNumberFormat="1" applyBorder="1" applyAlignment="1">
      <alignment horizontal="center" vertical="center"/>
    </xf>
    <xf numFmtId="167" fontId="5" fillId="0" borderId="3" xfId="6" applyNumberFormat="1" applyFont="1" applyBorder="1" applyAlignment="1">
      <alignment horizontal="center" vertical="center" wrapText="1"/>
    </xf>
    <xf numFmtId="168" fontId="1" fillId="0" borderId="0" xfId="6" applyNumberFormat="1" applyAlignment="1">
      <alignment horizontal="center" vertical="center"/>
    </xf>
    <xf numFmtId="164" fontId="1" fillId="0" borderId="0" xfId="6" applyNumberFormat="1" applyAlignment="1">
      <alignment vertical="center"/>
    </xf>
    <xf numFmtId="1" fontId="1" fillId="0" borderId="43" xfId="6" applyNumberFormat="1" applyBorder="1" applyAlignment="1">
      <alignment horizontal="center" vertical="center"/>
    </xf>
    <xf numFmtId="167" fontId="1" fillId="0" borderId="0" xfId="6" applyNumberFormat="1" applyAlignment="1">
      <alignment horizontal="center" vertical="center"/>
    </xf>
    <xf numFmtId="167" fontId="1" fillId="0" borderId="59" xfId="6" applyNumberFormat="1" applyBorder="1" applyAlignment="1">
      <alignment horizontal="center" vertical="center"/>
    </xf>
    <xf numFmtId="0" fontId="1" fillId="0" borderId="43" xfId="6" applyBorder="1" applyAlignment="1">
      <alignment horizontal="center" vertical="center"/>
    </xf>
    <xf numFmtId="167" fontId="1" fillId="0" borderId="62" xfId="6" applyNumberFormat="1" applyBorder="1" applyAlignment="1">
      <alignment horizontal="center" vertical="center"/>
    </xf>
    <xf numFmtId="0" fontId="1" fillId="0" borderId="65" xfId="6" applyBorder="1" applyAlignment="1">
      <alignment horizontal="center" vertical="center"/>
    </xf>
    <xf numFmtId="0" fontId="1" fillId="0" borderId="44" xfId="6" applyBorder="1" applyAlignment="1">
      <alignment horizontal="center" vertical="center"/>
    </xf>
    <xf numFmtId="0" fontId="1" fillId="0" borderId="62" xfId="6" applyBorder="1" applyAlignment="1">
      <alignment horizontal="center" vertical="center"/>
    </xf>
    <xf numFmtId="1" fontId="1" fillId="0" borderId="0" xfId="6" applyNumberFormat="1" applyAlignment="1">
      <alignment horizontal="center" vertical="center"/>
    </xf>
    <xf numFmtId="2" fontId="0" fillId="13" borderId="8" xfId="4" applyNumberFormat="1" applyFont="1" applyFill="1" applyBorder="1" applyAlignment="1">
      <alignment horizontal="center" vertical="center"/>
    </xf>
    <xf numFmtId="176" fontId="5" fillId="9" borderId="3" xfId="4" applyNumberFormat="1" applyFont="1" applyFill="1" applyBorder="1" applyAlignment="1">
      <alignment horizontal="center" vertical="center"/>
    </xf>
    <xf numFmtId="0" fontId="0" fillId="0" borderId="8" xfId="0" applyFill="1" applyBorder="1" applyAlignment="1">
      <alignment horizontal="left" vertical="center" wrapText="1"/>
    </xf>
    <xf numFmtId="1" fontId="0" fillId="0" borderId="8" xfId="0" applyNumberFormat="1" applyFill="1" applyBorder="1" applyAlignment="1">
      <alignment horizontal="center" vertical="center"/>
    </xf>
    <xf numFmtId="0" fontId="0" fillId="0" borderId="8" xfId="0" applyFill="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0" fillId="0" borderId="20" xfId="0" applyBorder="1" applyAlignment="1">
      <alignment horizontal="left" vertical="center"/>
    </xf>
    <xf numFmtId="0" fontId="0" fillId="0" borderId="8" xfId="0" applyBorder="1" applyAlignment="1">
      <alignment horizontal="left" vertical="center"/>
    </xf>
    <xf numFmtId="0" fontId="6" fillId="4" borderId="1"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2" xfId="0" applyFont="1" applyFill="1" applyBorder="1" applyAlignment="1">
      <alignment horizontal="center" vertical="center"/>
    </xf>
    <xf numFmtId="0" fontId="0" fillId="0" borderId="7" xfId="0" applyBorder="1" applyAlignment="1">
      <alignment horizontal="left" vertical="center"/>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168" fontId="5" fillId="2" borderId="1" xfId="1" applyNumberFormat="1" applyFont="1" applyFill="1" applyBorder="1" applyAlignment="1">
      <alignment horizontal="center" vertical="center"/>
    </xf>
    <xf numFmtId="168" fontId="5" fillId="2" borderId="2" xfId="1" applyNumberFormat="1" applyFont="1" applyFill="1" applyBorder="1" applyAlignment="1">
      <alignment horizontal="center" vertical="center"/>
    </xf>
    <xf numFmtId="0" fontId="4" fillId="9" borderId="1" xfId="3" applyFont="1" applyFill="1" applyBorder="1" applyAlignment="1">
      <alignment horizontal="center" vertical="center"/>
    </xf>
    <xf numFmtId="0" fontId="4" fillId="9" borderId="2" xfId="3" applyFont="1" applyFill="1" applyBorder="1" applyAlignment="1">
      <alignment horizontal="center" vertical="center"/>
    </xf>
    <xf numFmtId="167" fontId="18" fillId="2" borderId="15" xfId="4" applyNumberFormat="1" applyFont="1" applyFill="1" applyBorder="1" applyAlignment="1">
      <alignment horizontal="left" vertical="center"/>
    </xf>
    <xf numFmtId="167" fontId="18" fillId="2" borderId="22" xfId="4" applyNumberFormat="1" applyFont="1" applyFill="1" applyBorder="1" applyAlignment="1">
      <alignment horizontal="left" vertical="center"/>
    </xf>
    <xf numFmtId="0" fontId="0" fillId="2" borderId="0" xfId="0" applyFill="1" applyAlignment="1">
      <alignment horizontal="left" vertical="center" wrapText="1"/>
    </xf>
    <xf numFmtId="0" fontId="0" fillId="2" borderId="18" xfId="0" applyFill="1" applyBorder="1" applyAlignment="1">
      <alignment horizontal="left" vertical="center" wrapText="1"/>
    </xf>
    <xf numFmtId="168" fontId="5" fillId="9" borderId="27" xfId="1" applyNumberFormat="1" applyFont="1" applyFill="1" applyBorder="1" applyAlignment="1">
      <alignment horizontal="center" vertical="center"/>
    </xf>
    <xf numFmtId="168" fontId="5" fillId="9" borderId="29" xfId="1" applyNumberFormat="1" applyFont="1" applyFill="1" applyBorder="1" applyAlignment="1">
      <alignment horizontal="center" vertical="center"/>
    </xf>
    <xf numFmtId="168" fontId="4" fillId="0" borderId="1" xfId="1" applyNumberFormat="1" applyFont="1" applyFill="1" applyBorder="1" applyAlignment="1">
      <alignment horizontal="right" vertical="center"/>
    </xf>
    <xf numFmtId="168" fontId="4" fillId="0" borderId="4" xfId="1" applyNumberFormat="1" applyFont="1" applyFill="1" applyBorder="1" applyAlignment="1">
      <alignment horizontal="right" vertical="center"/>
    </xf>
    <xf numFmtId="168" fontId="4" fillId="0" borderId="2" xfId="1" applyNumberFormat="1" applyFont="1" applyFill="1" applyBorder="1" applyAlignment="1">
      <alignment horizontal="right" vertical="center"/>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20" fillId="9" borderId="33" xfId="0" applyFont="1" applyFill="1" applyBorder="1" applyAlignment="1">
      <alignment horizontal="center" vertical="center" wrapText="1"/>
    </xf>
    <xf numFmtId="0" fontId="20" fillId="9" borderId="30"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20" fillId="9" borderId="1" xfId="0" applyFont="1" applyFill="1" applyBorder="1" applyAlignment="1">
      <alignment horizontal="center" vertical="center" wrapText="1"/>
    </xf>
    <xf numFmtId="0" fontId="20" fillId="9" borderId="2" xfId="0" applyFont="1" applyFill="1" applyBorder="1" applyAlignment="1">
      <alignment horizontal="center" vertical="center" wrapText="1"/>
    </xf>
    <xf numFmtId="172" fontId="14" fillId="0" borderId="4" xfId="0" applyNumberFormat="1" applyFont="1" applyBorder="1" applyAlignment="1">
      <alignment horizontal="center" vertical="center" wrapText="1"/>
    </xf>
    <xf numFmtId="172" fontId="14" fillId="0" borderId="2" xfId="0" applyNumberFormat="1" applyFont="1" applyBorder="1" applyAlignment="1">
      <alignment horizontal="center" vertical="center" wrapText="1"/>
    </xf>
    <xf numFmtId="0" fontId="14" fillId="0" borderId="2" xfId="0" applyFont="1" applyBorder="1" applyAlignment="1">
      <alignment horizontal="center" vertical="center" wrapText="1"/>
    </xf>
    <xf numFmtId="168" fontId="5" fillId="2" borderId="33" xfId="1" applyNumberFormat="1" applyFont="1" applyFill="1" applyBorder="1" applyAlignment="1">
      <alignment horizontal="center" vertical="center"/>
    </xf>
    <xf numFmtId="168" fontId="5" fillId="2" borderId="30" xfId="1" applyNumberFormat="1" applyFont="1" applyFill="1" applyBorder="1" applyAlignment="1">
      <alignment horizontal="center" vertical="center"/>
    </xf>
    <xf numFmtId="166" fontId="21" fillId="11" borderId="1" xfId="0" applyNumberFormat="1" applyFont="1" applyFill="1" applyBorder="1" applyAlignment="1">
      <alignment horizontal="center" vertical="center" wrapText="1"/>
    </xf>
    <xf numFmtId="166" fontId="21" fillId="11" borderId="4" xfId="0" applyNumberFormat="1" applyFont="1" applyFill="1" applyBorder="1" applyAlignment="1">
      <alignment horizontal="center" vertical="center" wrapText="1"/>
    </xf>
    <xf numFmtId="166" fontId="21" fillId="11" borderId="2" xfId="0" applyNumberFormat="1" applyFont="1" applyFill="1" applyBorder="1" applyAlignment="1">
      <alignment horizontal="center" vertical="center" wrapText="1"/>
    </xf>
    <xf numFmtId="0" fontId="21" fillId="11" borderId="1" xfId="0" applyFont="1" applyFill="1" applyBorder="1" applyAlignment="1">
      <alignment horizontal="center" vertical="center" wrapText="1"/>
    </xf>
    <xf numFmtId="0" fontId="21" fillId="11" borderId="2" xfId="0" applyFont="1" applyFill="1" applyBorder="1" applyAlignment="1">
      <alignment horizontal="center" vertical="center" wrapText="1"/>
    </xf>
    <xf numFmtId="166" fontId="20" fillId="9" borderId="1" xfId="0" applyNumberFormat="1" applyFont="1" applyFill="1" applyBorder="1" applyAlignment="1">
      <alignment horizontal="center" vertical="center" wrapText="1"/>
    </xf>
    <xf numFmtId="166" fontId="20" fillId="9" borderId="4" xfId="0" applyNumberFormat="1" applyFont="1" applyFill="1" applyBorder="1" applyAlignment="1">
      <alignment horizontal="center" vertical="center" wrapText="1"/>
    </xf>
    <xf numFmtId="166" fontId="20" fillId="9" borderId="2"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168" fontId="14" fillId="4" borderId="1" xfId="0" applyNumberFormat="1" applyFont="1" applyFill="1" applyBorder="1" applyAlignment="1">
      <alignment horizontal="center" vertical="center" wrapText="1"/>
    </xf>
    <xf numFmtId="166" fontId="6" fillId="0" borderId="1" xfId="0" applyNumberFormat="1" applyFont="1" applyBorder="1" applyAlignment="1">
      <alignment horizontal="center" vertical="center"/>
    </xf>
    <xf numFmtId="166" fontId="6" fillId="0" borderId="4" xfId="0" applyNumberFormat="1" applyFont="1" applyBorder="1" applyAlignment="1">
      <alignment horizontal="center" vertical="center"/>
    </xf>
    <xf numFmtId="166" fontId="6" fillId="0" borderId="2" xfId="0" applyNumberFormat="1" applyFont="1" applyBorder="1" applyAlignment="1">
      <alignment horizontal="center" vertical="center"/>
    </xf>
    <xf numFmtId="168" fontId="28" fillId="2" borderId="27" xfId="1" applyNumberFormat="1" applyFont="1" applyFill="1" applyBorder="1" applyAlignment="1">
      <alignment horizontal="center" vertical="center"/>
    </xf>
    <xf numFmtId="168" fontId="28" fillId="2" borderId="29" xfId="1" applyNumberFormat="1" applyFont="1" applyFill="1" applyBorder="1" applyAlignment="1">
      <alignment horizontal="center" vertical="center"/>
    </xf>
    <xf numFmtId="0" fontId="26" fillId="4" borderId="1" xfId="0" applyFont="1" applyFill="1" applyBorder="1" applyAlignment="1">
      <alignment horizontal="center" vertical="center"/>
    </xf>
    <xf numFmtId="0" fontId="26" fillId="4" borderId="4" xfId="0" applyFont="1" applyFill="1" applyBorder="1" applyAlignment="1">
      <alignment horizontal="center" vertical="center"/>
    </xf>
    <xf numFmtId="0" fontId="26" fillId="4" borderId="2" xfId="0" applyFont="1" applyFill="1" applyBorder="1" applyAlignment="1">
      <alignment horizontal="center"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22" xfId="0" applyFont="1" applyBorder="1" applyAlignment="1">
      <alignment horizontal="left" vertical="center"/>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168" fontId="28" fillId="2" borderId="1" xfId="1" applyNumberFormat="1" applyFont="1" applyFill="1" applyBorder="1" applyAlignment="1">
      <alignment horizontal="center" vertical="center"/>
    </xf>
    <xf numFmtId="168" fontId="28" fillId="2" borderId="2" xfId="1" applyNumberFormat="1" applyFont="1" applyFill="1" applyBorder="1" applyAlignment="1">
      <alignment horizontal="center" vertical="center"/>
    </xf>
    <xf numFmtId="0" fontId="26" fillId="0" borderId="1" xfId="3" applyFont="1" applyBorder="1" applyAlignment="1">
      <alignment horizontal="right" vertical="center"/>
    </xf>
    <xf numFmtId="0" fontId="26" fillId="0" borderId="4" xfId="3" applyFont="1" applyBorder="1" applyAlignment="1">
      <alignment horizontal="right" vertical="center"/>
    </xf>
    <xf numFmtId="0" fontId="26" fillId="0" borderId="2" xfId="3" applyFont="1" applyBorder="1" applyAlignment="1">
      <alignment horizontal="right" vertical="center"/>
    </xf>
    <xf numFmtId="168" fontId="26" fillId="0" borderId="1" xfId="1" applyNumberFormat="1" applyFont="1" applyFill="1" applyBorder="1" applyAlignment="1">
      <alignment horizontal="center" vertical="center"/>
    </xf>
    <xf numFmtId="168" fontId="26" fillId="0" borderId="4" xfId="1" applyNumberFormat="1" applyFont="1" applyFill="1" applyBorder="1" applyAlignment="1">
      <alignment horizontal="center" vertical="center"/>
    </xf>
    <xf numFmtId="167" fontId="1" fillId="0" borderId="60" xfId="6" applyNumberFormat="1" applyBorder="1" applyAlignment="1">
      <alignment horizontal="center" vertical="center"/>
    </xf>
    <xf numFmtId="167" fontId="1" fillId="0" borderId="61" xfId="6" applyNumberFormat="1" applyBorder="1" applyAlignment="1">
      <alignment horizontal="center" vertical="center"/>
    </xf>
    <xf numFmtId="164" fontId="26" fillId="0" borderId="1" xfId="6" applyNumberFormat="1" applyFont="1" applyBorder="1" applyAlignment="1">
      <alignment horizontal="center" vertical="center"/>
    </xf>
    <xf numFmtId="164" fontId="26" fillId="0" borderId="4" xfId="6" applyNumberFormat="1" applyFont="1" applyBorder="1" applyAlignment="1">
      <alignment horizontal="center" vertical="center"/>
    </xf>
    <xf numFmtId="0" fontId="26" fillId="4" borderId="27" xfId="0" applyFont="1" applyFill="1" applyBorder="1" applyAlignment="1">
      <alignment horizontal="center" vertical="center"/>
    </xf>
    <xf numFmtId="0" fontId="26" fillId="4" borderId="28" xfId="0" applyFont="1" applyFill="1" applyBorder="1" applyAlignment="1">
      <alignment horizontal="center" vertical="center"/>
    </xf>
    <xf numFmtId="0" fontId="26" fillId="4" borderId="29" xfId="0" applyFont="1" applyFill="1" applyBorder="1" applyAlignment="1">
      <alignment horizontal="center" vertical="center"/>
    </xf>
    <xf numFmtId="167" fontId="5" fillId="0" borderId="58" xfId="6" applyNumberFormat="1" applyFont="1" applyBorder="1" applyAlignment="1">
      <alignment horizontal="left" vertical="center"/>
    </xf>
    <xf numFmtId="167" fontId="5" fillId="0" borderId="28" xfId="6" applyNumberFormat="1" applyFont="1" applyBorder="1" applyAlignment="1">
      <alignment horizontal="left" vertical="center"/>
    </xf>
    <xf numFmtId="167" fontId="5" fillId="0" borderId="29" xfId="6" applyNumberFormat="1" applyFont="1" applyBorder="1" applyAlignment="1">
      <alignment horizontal="left" vertical="center"/>
    </xf>
    <xf numFmtId="167" fontId="1" fillId="0" borderId="56" xfId="6" applyNumberFormat="1" applyBorder="1" applyAlignment="1">
      <alignment horizontal="left" vertical="center"/>
    </xf>
    <xf numFmtId="167" fontId="1" fillId="0" borderId="7" xfId="6" applyNumberFormat="1" applyBorder="1" applyAlignment="1">
      <alignment horizontal="left" vertical="center"/>
    </xf>
    <xf numFmtId="167" fontId="1" fillId="0" borderId="26" xfId="6" applyNumberFormat="1" applyBorder="1" applyAlignment="1">
      <alignment horizontal="left" vertical="center"/>
    </xf>
    <xf numFmtId="167" fontId="1" fillId="0" borderId="12" xfId="6" applyNumberFormat="1" applyBorder="1" applyAlignment="1">
      <alignment horizontal="left" vertical="center"/>
    </xf>
    <xf numFmtId="167" fontId="1" fillId="0" borderId="8" xfId="6" applyNumberFormat="1" applyBorder="1" applyAlignment="1">
      <alignment horizontal="left" vertical="center"/>
    </xf>
    <xf numFmtId="167" fontId="1" fillId="0" borderId="9" xfId="6" applyNumberFormat="1" applyBorder="1" applyAlignment="1">
      <alignment horizontal="left" vertical="center"/>
    </xf>
    <xf numFmtId="167" fontId="0" fillId="0" borderId="12" xfId="6" applyNumberFormat="1" applyFont="1" applyBorder="1" applyAlignment="1">
      <alignment horizontal="left" vertical="center" wrapText="1"/>
    </xf>
    <xf numFmtId="167" fontId="0" fillId="0" borderId="8" xfId="6" applyNumberFormat="1" applyFont="1" applyBorder="1" applyAlignment="1">
      <alignment horizontal="left" vertical="center" wrapText="1"/>
    </xf>
    <xf numFmtId="167" fontId="0" fillId="0" borderId="9" xfId="6" applyNumberFormat="1" applyFont="1" applyBorder="1" applyAlignment="1">
      <alignment horizontal="left" vertical="center" wrapText="1"/>
    </xf>
    <xf numFmtId="167" fontId="0" fillId="0" borderId="12" xfId="6" applyNumberFormat="1" applyFont="1" applyBorder="1" applyAlignment="1">
      <alignment horizontal="left" vertical="center"/>
    </xf>
    <xf numFmtId="167" fontId="0" fillId="0" borderId="8" xfId="6" applyNumberFormat="1" applyFont="1" applyBorder="1" applyAlignment="1">
      <alignment horizontal="left" vertical="center"/>
    </xf>
    <xf numFmtId="167" fontId="0" fillId="0" borderId="9" xfId="6" applyNumberFormat="1" applyFont="1" applyBorder="1" applyAlignment="1">
      <alignment horizontal="left" vertical="center"/>
    </xf>
    <xf numFmtId="167" fontId="0" fillId="0" borderId="56" xfId="6" applyNumberFormat="1" applyFont="1" applyBorder="1" applyAlignment="1">
      <alignment horizontal="left" vertical="center"/>
    </xf>
    <xf numFmtId="167" fontId="0" fillId="0" borderId="66" xfId="6" applyNumberFormat="1" applyFont="1" applyBorder="1" applyAlignment="1">
      <alignment horizontal="left" vertical="center" wrapText="1"/>
    </xf>
    <xf numFmtId="167" fontId="0" fillId="0" borderId="63" xfId="6" applyNumberFormat="1" applyFont="1" applyBorder="1" applyAlignment="1">
      <alignment horizontal="left" vertical="center" wrapText="1"/>
    </xf>
    <xf numFmtId="167" fontId="0" fillId="0" borderId="64" xfId="6" applyNumberFormat="1" applyFont="1" applyBorder="1" applyAlignment="1">
      <alignment horizontal="left" vertical="center" wrapText="1"/>
    </xf>
    <xf numFmtId="167" fontId="1" fillId="0" borderId="63" xfId="6" applyNumberFormat="1" applyBorder="1" applyAlignment="1">
      <alignment horizontal="center" vertical="center"/>
    </xf>
    <xf numFmtId="167" fontId="1" fillId="0" borderId="64" xfId="6" applyNumberFormat="1" applyBorder="1" applyAlignment="1">
      <alignment horizontal="center" vertical="center"/>
    </xf>
    <xf numFmtId="167" fontId="0" fillId="0" borderId="54" xfId="6" applyNumberFormat="1" applyFont="1" applyBorder="1" applyAlignment="1">
      <alignment horizontal="left" vertical="center" wrapText="1"/>
    </xf>
    <xf numFmtId="167" fontId="1" fillId="0" borderId="5" xfId="6" applyNumberFormat="1" applyBorder="1" applyAlignment="1">
      <alignment horizontal="left" vertical="center" wrapText="1"/>
    </xf>
    <xf numFmtId="167" fontId="1" fillId="0" borderId="6" xfId="6" applyNumberFormat="1" applyBorder="1" applyAlignment="1">
      <alignment horizontal="left" vertical="center" wrapText="1"/>
    </xf>
    <xf numFmtId="167" fontId="1" fillId="0" borderId="8" xfId="6" applyNumberFormat="1" applyBorder="1" applyAlignment="1">
      <alignment horizontal="left" vertical="center" wrapText="1"/>
    </xf>
    <xf numFmtId="167" fontId="1" fillId="0" borderId="9" xfId="6" applyNumberFormat="1" applyBorder="1" applyAlignment="1">
      <alignment horizontal="left" vertical="center" wrapText="1"/>
    </xf>
    <xf numFmtId="0" fontId="20" fillId="0" borderId="33" xfId="0" applyFont="1" applyBorder="1" applyAlignment="1">
      <alignment horizontal="center" wrapText="1"/>
    </xf>
    <xf numFmtId="0" fontId="20" fillId="0" borderId="34" xfId="0" applyFont="1" applyBorder="1" applyAlignment="1">
      <alignment horizontal="center" wrapText="1"/>
    </xf>
    <xf numFmtId="0" fontId="20" fillId="0" borderId="30" xfId="0" applyFont="1" applyBorder="1" applyAlignment="1">
      <alignment horizontal="center" wrapText="1"/>
    </xf>
    <xf numFmtId="0" fontId="20" fillId="0" borderId="17" xfId="0" applyFont="1" applyBorder="1" applyAlignment="1">
      <alignment horizontal="center" wrapText="1"/>
    </xf>
    <xf numFmtId="0" fontId="20" fillId="0" borderId="0" xfId="0" applyFont="1" applyBorder="1" applyAlignment="1">
      <alignment horizontal="center" wrapText="1"/>
    </xf>
    <xf numFmtId="0" fontId="20" fillId="0" borderId="18" xfId="0" applyFont="1" applyBorder="1" applyAlignment="1">
      <alignment horizontal="center" wrapText="1"/>
    </xf>
    <xf numFmtId="0" fontId="20" fillId="0" borderId="14" xfId="0" applyFont="1" applyBorder="1" applyAlignment="1">
      <alignment horizontal="center" wrapText="1"/>
    </xf>
    <xf numFmtId="0" fontId="20" fillId="0" borderId="15" xfId="0" applyFont="1" applyBorder="1" applyAlignment="1">
      <alignment horizontal="center" wrapText="1"/>
    </xf>
    <xf numFmtId="0" fontId="20" fillId="0" borderId="22" xfId="0" applyFont="1" applyBorder="1" applyAlignment="1">
      <alignment horizontal="center" wrapText="1"/>
    </xf>
  </cellXfs>
  <cellStyles count="7">
    <cellStyle name="Comma [0]" xfId="4" builtinId="6"/>
    <cellStyle name="Comma [0] 2" xfId="6" xr:uid="{C009FEEE-E81E-4A15-8281-194DFC361B0F}"/>
    <cellStyle name="Currency" xfId="1" builtinId="4"/>
    <cellStyle name="Normal" xfId="0" builtinId="0"/>
    <cellStyle name="Normal 2" xfId="3" xr:uid="{00000000-0005-0000-0000-000003000000}"/>
    <cellStyle name="Note 2" xfId="5" xr:uid="{7CC51EF5-67C4-4FAC-B74A-62750FADC802}"/>
    <cellStyle name="Percent" xfId="2" builtinId="5"/>
  </cellStyles>
  <dxfs count="0"/>
  <tableStyles count="0" defaultTableStyle="TableStyleMedium2" defaultPivotStyle="PivotStyleLight16"/>
  <colors>
    <mruColors>
      <color rgb="FF09BC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122464</xdr:colOff>
      <xdr:row>3</xdr:row>
      <xdr:rowOff>122464</xdr:rowOff>
    </xdr:to>
    <xdr:pic>
      <xdr:nvPicPr>
        <xdr:cNvPr id="4" name="Picture 3">
          <a:extLst>
            <a:ext uri="{FF2B5EF4-FFF2-40B4-BE49-F238E27FC236}">
              <a16:creationId xmlns:a16="http://schemas.microsoft.com/office/drawing/2014/main" id="{6DE3261D-942E-4BE1-B3F4-95673C9989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8214" y="0"/>
          <a:ext cx="2068286" cy="1632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44169</xdr:rowOff>
    </xdr:from>
    <xdr:to>
      <xdr:col>2</xdr:col>
      <xdr:colOff>820559</xdr:colOff>
      <xdr:row>0</xdr:row>
      <xdr:rowOff>742264</xdr:rowOff>
    </xdr:to>
    <xdr:pic>
      <xdr:nvPicPr>
        <xdr:cNvPr id="2" name="Picture 1" descr="Constructem">
          <a:extLst>
            <a:ext uri="{FF2B5EF4-FFF2-40B4-BE49-F238E27FC236}">
              <a16:creationId xmlns:a16="http://schemas.microsoft.com/office/drawing/2014/main" id="{5F48006C-E845-42F7-BFF0-988D8E49C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4169"/>
          <a:ext cx="1906409" cy="6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lectrical%20Estimate%20-%20June%20Lake%20Business%20Center%20Phase%20rev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Recap &amp; Summary"/>
      <sheetName val="Estimate"/>
    </sheetNames>
    <sheetDataSet>
      <sheetData sheetId="0">
        <row r="22">
          <cell r="K22">
            <v>83</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Q57"/>
  <sheetViews>
    <sheetView view="pageBreakPreview" zoomScale="85" zoomScaleNormal="85" zoomScaleSheetLayoutView="85" workbookViewId="0">
      <pane ySplit="1" topLeftCell="A2" activePane="bottomLeft" state="frozen"/>
      <selection pane="bottomLeft" sqref="A1:M1"/>
    </sheetView>
  </sheetViews>
  <sheetFormatPr defaultColWidth="9.140625" defaultRowHeight="15" x14ac:dyDescent="0.25"/>
  <cols>
    <col min="1" max="1" width="9.7109375" style="84" customWidth="1"/>
    <col min="2" max="2" width="15.28515625" style="86" customWidth="1"/>
    <col min="3" max="3" width="52.5703125" style="84" customWidth="1"/>
    <col min="4" max="4" width="15.85546875" style="84" customWidth="1"/>
    <col min="5" max="5" width="15.7109375" style="87" bestFit="1" customWidth="1"/>
    <col min="6" max="6" width="14.7109375" style="87" customWidth="1"/>
    <col min="7" max="7" width="14.28515625" style="87" customWidth="1"/>
    <col min="8" max="8" width="16.85546875" style="87" bestFit="1" customWidth="1"/>
    <col min="9" max="9" width="14.28515625" style="87" customWidth="1"/>
    <col min="10" max="10" width="15.42578125" style="87" bestFit="1" customWidth="1"/>
    <col min="11" max="11" width="15.42578125" style="87" customWidth="1"/>
    <col min="12" max="13" width="19.140625" style="87" customWidth="1"/>
    <col min="14" max="14" width="10.7109375" style="84" customWidth="1"/>
    <col min="15" max="16384" width="9.140625" style="84"/>
  </cols>
  <sheetData>
    <row r="1" spans="1:17" ht="37.5" customHeight="1" thickBot="1" x14ac:dyDescent="0.3">
      <c r="A1" s="387" t="str">
        <f>Worksheet!E1</f>
        <v>JUNE LAKE BUSINESS CENTER</v>
      </c>
      <c r="B1" s="388"/>
      <c r="C1" s="388"/>
      <c r="D1" s="388"/>
      <c r="E1" s="388"/>
      <c r="F1" s="388"/>
      <c r="G1" s="388"/>
      <c r="H1" s="388"/>
      <c r="I1" s="388"/>
      <c r="J1" s="388"/>
      <c r="K1" s="388"/>
      <c r="L1" s="388"/>
      <c r="M1" s="389"/>
      <c r="N1" s="83"/>
    </row>
    <row r="2" spans="1:17" ht="15.75" thickBot="1" x14ac:dyDescent="0.3">
      <c r="A2" s="85"/>
      <c r="N2" s="83"/>
    </row>
    <row r="3" spans="1:17" ht="30" customHeight="1" thickBot="1" x14ac:dyDescent="0.3">
      <c r="A3" s="85"/>
      <c r="B3" s="383" t="s">
        <v>24</v>
      </c>
      <c r="C3" s="384"/>
      <c r="D3" s="384"/>
      <c r="E3" s="384"/>
      <c r="F3" s="384"/>
      <c r="G3" s="384"/>
      <c r="H3" s="384"/>
      <c r="I3" s="384"/>
      <c r="J3" s="384"/>
      <c r="K3" s="384"/>
      <c r="L3" s="384"/>
      <c r="M3" s="385"/>
      <c r="N3" s="83"/>
    </row>
    <row r="4" spans="1:17" ht="30.75" thickBot="1" x14ac:dyDescent="0.3">
      <c r="A4" s="85"/>
      <c r="B4" s="6" t="s">
        <v>192</v>
      </c>
      <c r="C4" s="7" t="s">
        <v>1</v>
      </c>
      <c r="D4" s="8" t="s">
        <v>16</v>
      </c>
      <c r="E4" s="9" t="s">
        <v>17</v>
      </c>
      <c r="F4" s="9" t="s">
        <v>18</v>
      </c>
      <c r="G4" s="9" t="s">
        <v>19</v>
      </c>
      <c r="H4" s="9" t="s">
        <v>20</v>
      </c>
      <c r="I4" s="9" t="s">
        <v>21</v>
      </c>
      <c r="J4" s="9" t="s">
        <v>243</v>
      </c>
      <c r="K4" s="76" t="s">
        <v>217</v>
      </c>
      <c r="L4" s="74" t="s">
        <v>22</v>
      </c>
      <c r="M4" s="140" t="s">
        <v>216</v>
      </c>
      <c r="N4" s="83"/>
    </row>
    <row r="5" spans="1:17" ht="20.100000000000001" customHeight="1" x14ac:dyDescent="0.25">
      <c r="A5" s="85"/>
      <c r="B5" s="167"/>
      <c r="C5" s="168" t="str">
        <f>Worksheet!E7</f>
        <v>GENERAL REQUIREMENTS SUBGROUP WORK</v>
      </c>
      <c r="D5" s="169"/>
      <c r="E5" s="169"/>
      <c r="F5" s="170"/>
      <c r="G5" s="170"/>
      <c r="H5" s="170"/>
      <c r="I5" s="170"/>
      <c r="J5" s="170"/>
      <c r="K5" s="171"/>
      <c r="L5" s="171"/>
      <c r="M5" s="166"/>
      <c r="N5" s="83"/>
      <c r="O5" s="87"/>
      <c r="P5" s="87"/>
      <c r="Q5" s="87"/>
    </row>
    <row r="6" spans="1:17" ht="25.15" customHeight="1" x14ac:dyDescent="0.25">
      <c r="A6" s="85"/>
      <c r="B6" s="88" t="str">
        <f>Worksheet!D8</f>
        <v>01 00 00</v>
      </c>
      <c r="C6" s="89" t="str">
        <f>Worksheet!E8</f>
        <v>GENERAL REQUIREMENTS</v>
      </c>
      <c r="D6" s="90">
        <f>Worksheet!J$13</f>
        <v>0</v>
      </c>
      <c r="E6" s="90">
        <f>Worksheet!M$13</f>
        <v>0</v>
      </c>
      <c r="F6" s="91">
        <f>D6*$D$34</f>
        <v>0</v>
      </c>
      <c r="G6" s="91">
        <f>E6*$D$37</f>
        <v>0</v>
      </c>
      <c r="H6" s="91">
        <f t="shared" ref="H6:H11" si="0">D6+E6+F6+G6</f>
        <v>0</v>
      </c>
      <c r="I6" s="91">
        <f>H6*$D$39</f>
        <v>0</v>
      </c>
      <c r="J6" s="91">
        <f>H6*$D$40</f>
        <v>0</v>
      </c>
      <c r="K6" s="92">
        <f>SUM(E$42:E$54)+E$35+(E$35*(D$39+D$40))</f>
        <v>0</v>
      </c>
      <c r="L6" s="93">
        <f>H6+I6+J6+K6</f>
        <v>0</v>
      </c>
      <c r="M6" s="141">
        <f>L6/H$44</f>
        <v>0</v>
      </c>
      <c r="N6" s="83"/>
      <c r="O6" s="87"/>
      <c r="P6" s="87"/>
      <c r="Q6" s="87"/>
    </row>
    <row r="7" spans="1:17" ht="20.100000000000001" customHeight="1" x14ac:dyDescent="0.25">
      <c r="A7" s="85"/>
      <c r="B7" s="167"/>
      <c r="C7" s="168" t="str">
        <f>Worksheet!E14</f>
        <v>FACILITY CONSTRUCTION SUBGROUP WORK</v>
      </c>
      <c r="D7" s="169"/>
      <c r="E7" s="169"/>
      <c r="F7" s="170"/>
      <c r="G7" s="170"/>
      <c r="H7" s="170"/>
      <c r="I7" s="170"/>
      <c r="J7" s="170"/>
      <c r="K7" s="171"/>
      <c r="L7" s="171"/>
      <c r="M7" s="166"/>
      <c r="N7" s="83"/>
      <c r="O7" s="87"/>
      <c r="P7" s="87"/>
      <c r="Q7" s="87"/>
    </row>
    <row r="8" spans="1:17" ht="25.15" customHeight="1" x14ac:dyDescent="0.25">
      <c r="A8" s="85"/>
      <c r="B8" s="88" t="str">
        <f>Worksheet!D15</f>
        <v>02 00 00</v>
      </c>
      <c r="C8" s="89" t="str">
        <f>Worksheet!E15</f>
        <v>EXISTING CONDITIONS/ DEMOLITION</v>
      </c>
      <c r="D8" s="90">
        <f>Worksheet!J$29</f>
        <v>0</v>
      </c>
      <c r="E8" s="90">
        <f>Worksheet!$M29</f>
        <v>48794.293411999985</v>
      </c>
      <c r="F8" s="91">
        <f t="shared" ref="F8:F18" si="1">D8*$D$34</f>
        <v>0</v>
      </c>
      <c r="G8" s="91">
        <f t="shared" ref="G8:G18" si="2">E8*$D$37</f>
        <v>0</v>
      </c>
      <c r="H8" s="91">
        <f t="shared" si="0"/>
        <v>48794.293411999985</v>
      </c>
      <c r="I8" s="91">
        <f t="shared" ref="I8:I18" si="3">H8*$D$39</f>
        <v>4879.4293411999988</v>
      </c>
      <c r="J8" s="91">
        <f t="shared" ref="J8:J18" si="4">H8*$D$40</f>
        <v>4879.4293411999988</v>
      </c>
      <c r="K8" s="92">
        <v>0</v>
      </c>
      <c r="L8" s="93">
        <f t="shared" ref="L8:L27" si="5">H8+I8+J8+K8</f>
        <v>58553.152094399979</v>
      </c>
      <c r="M8" s="142">
        <f t="shared" ref="M8:M18" si="6">L8/H$44</f>
        <v>9.8161193787761913</v>
      </c>
      <c r="N8" s="83"/>
      <c r="O8" s="87"/>
      <c r="P8" s="87"/>
      <c r="Q8" s="87"/>
    </row>
    <row r="9" spans="1:17" ht="25.15" customHeight="1" x14ac:dyDescent="0.25">
      <c r="A9" s="85"/>
      <c r="B9" s="88" t="str">
        <f>Worksheet!D30</f>
        <v>03 00 00</v>
      </c>
      <c r="C9" s="89" t="str">
        <f>Worksheet!E30</f>
        <v>CONCRETE</v>
      </c>
      <c r="D9" s="90">
        <f>Worksheet!J$76</f>
        <v>67310.401818945204</v>
      </c>
      <c r="E9" s="90">
        <f>Worksheet!$M76</f>
        <v>44854.207446336593</v>
      </c>
      <c r="F9" s="91">
        <f t="shared" si="1"/>
        <v>0</v>
      </c>
      <c r="G9" s="91">
        <f t="shared" si="2"/>
        <v>0</v>
      </c>
      <c r="H9" s="91">
        <f t="shared" si="0"/>
        <v>112164.60926528179</v>
      </c>
      <c r="I9" s="91">
        <f t="shared" si="3"/>
        <v>11216.46092652818</v>
      </c>
      <c r="J9" s="91">
        <f t="shared" si="4"/>
        <v>11216.46092652818</v>
      </c>
      <c r="K9" s="92">
        <v>0</v>
      </c>
      <c r="L9" s="93">
        <f t="shared" si="5"/>
        <v>134597.53111833814</v>
      </c>
      <c r="M9" s="142">
        <f t="shared" si="6"/>
        <v>22.564548385303965</v>
      </c>
      <c r="N9" s="83"/>
      <c r="O9" s="87"/>
      <c r="P9" s="87"/>
      <c r="Q9" s="87"/>
    </row>
    <row r="10" spans="1:17" ht="25.15" customHeight="1" x14ac:dyDescent="0.25">
      <c r="A10" s="85"/>
      <c r="B10" s="88" t="str">
        <f>Worksheet!D77</f>
        <v>05 00 00</v>
      </c>
      <c r="C10" s="89" t="str">
        <f>Worksheet!E77</f>
        <v>METALS</v>
      </c>
      <c r="D10" s="90">
        <f>Worksheet!J$84</f>
        <v>7691.5815240000002</v>
      </c>
      <c r="E10" s="90">
        <f>Worksheet!$M84</f>
        <v>4749.8539503140009</v>
      </c>
      <c r="F10" s="91">
        <f t="shared" si="1"/>
        <v>0</v>
      </c>
      <c r="G10" s="91">
        <f t="shared" si="2"/>
        <v>0</v>
      </c>
      <c r="H10" s="91">
        <f t="shared" si="0"/>
        <v>12441.435474314001</v>
      </c>
      <c r="I10" s="91">
        <f t="shared" si="3"/>
        <v>1244.1435474314003</v>
      </c>
      <c r="J10" s="91">
        <f t="shared" si="4"/>
        <v>1244.1435474314003</v>
      </c>
      <c r="K10" s="92">
        <v>0</v>
      </c>
      <c r="L10" s="93">
        <f t="shared" si="5"/>
        <v>14929.722569176802</v>
      </c>
      <c r="M10" s="142">
        <f t="shared" si="6"/>
        <v>2.5028872706080136</v>
      </c>
      <c r="N10" s="83"/>
      <c r="O10" s="87"/>
      <c r="P10" s="87"/>
      <c r="Q10" s="87"/>
    </row>
    <row r="11" spans="1:17" ht="25.15" customHeight="1" x14ac:dyDescent="0.25">
      <c r="A11" s="85"/>
      <c r="B11" s="88" t="str">
        <f>Worksheet!D85</f>
        <v>06 00 00</v>
      </c>
      <c r="C11" s="89" t="str">
        <f>Worksheet!E85</f>
        <v>WOOD, PLASTICS, AND COMPOSITES</v>
      </c>
      <c r="D11" s="90">
        <f>Worksheet!J$169</f>
        <v>100425.42200759127</v>
      </c>
      <c r="E11" s="90">
        <f>Worksheet!$M169</f>
        <v>73504.828292606122</v>
      </c>
      <c r="F11" s="91">
        <f t="shared" si="1"/>
        <v>0</v>
      </c>
      <c r="G11" s="91">
        <f t="shared" si="2"/>
        <v>0</v>
      </c>
      <c r="H11" s="91">
        <f t="shared" si="0"/>
        <v>173930.2503001974</v>
      </c>
      <c r="I11" s="91">
        <f t="shared" si="3"/>
        <v>17393.02503001974</v>
      </c>
      <c r="J11" s="91">
        <f t="shared" si="4"/>
        <v>17393.02503001974</v>
      </c>
      <c r="K11" s="92">
        <v>0</v>
      </c>
      <c r="L11" s="93">
        <f t="shared" si="5"/>
        <v>208716.3003602369</v>
      </c>
      <c r="M11" s="142">
        <f t="shared" si="6"/>
        <v>34.990159322755559</v>
      </c>
      <c r="N11" s="83"/>
      <c r="O11" s="87"/>
      <c r="P11" s="87"/>
      <c r="Q11" s="87"/>
    </row>
    <row r="12" spans="1:17" ht="25.15" customHeight="1" x14ac:dyDescent="0.25">
      <c r="A12" s="85"/>
      <c r="B12" s="88" t="str">
        <f>Worksheet!D170</f>
        <v>07 00 00</v>
      </c>
      <c r="C12" s="89" t="str">
        <f>Worksheet!E170</f>
        <v>THERMAL AND MOISTURE PROTECTION</v>
      </c>
      <c r="D12" s="90">
        <f>Worksheet!J$210</f>
        <v>81188.430630000046</v>
      </c>
      <c r="E12" s="90">
        <f>Worksheet!$M210</f>
        <v>49593.465668040008</v>
      </c>
      <c r="F12" s="91">
        <f t="shared" si="1"/>
        <v>0</v>
      </c>
      <c r="G12" s="91">
        <f t="shared" si="2"/>
        <v>0</v>
      </c>
      <c r="H12" s="91">
        <f t="shared" ref="H12:H16" si="7">D12+E12+F12+G12</f>
        <v>130781.89629804005</v>
      </c>
      <c r="I12" s="91">
        <f t="shared" si="3"/>
        <v>13078.189629804006</v>
      </c>
      <c r="J12" s="91">
        <f t="shared" si="4"/>
        <v>13078.189629804006</v>
      </c>
      <c r="K12" s="92">
        <v>0</v>
      </c>
      <c r="L12" s="93">
        <f t="shared" si="5"/>
        <v>156938.27555764804</v>
      </c>
      <c r="M12" s="142">
        <f t="shared" si="6"/>
        <v>26.3098534044674</v>
      </c>
      <c r="N12" s="83"/>
      <c r="O12" s="87"/>
      <c r="P12" s="87"/>
      <c r="Q12" s="87"/>
    </row>
    <row r="13" spans="1:17" ht="25.15" customHeight="1" x14ac:dyDescent="0.25">
      <c r="A13" s="85"/>
      <c r="B13" s="88" t="str">
        <f>Worksheet!D211</f>
        <v>08 00 00</v>
      </c>
      <c r="C13" s="89" t="str">
        <f>Worksheet!E211</f>
        <v>OPENINGS</v>
      </c>
      <c r="D13" s="90">
        <f>Worksheet!J$257</f>
        <v>111087.3887799974</v>
      </c>
      <c r="E13" s="90">
        <f>Worksheet!$M257</f>
        <v>20879.28560223848</v>
      </c>
      <c r="F13" s="91">
        <f t="shared" si="1"/>
        <v>0</v>
      </c>
      <c r="G13" s="91">
        <f t="shared" si="2"/>
        <v>0</v>
      </c>
      <c r="H13" s="91">
        <f t="shared" si="7"/>
        <v>131966.67438223588</v>
      </c>
      <c r="I13" s="91">
        <f t="shared" si="3"/>
        <v>13196.667438223589</v>
      </c>
      <c r="J13" s="91">
        <f t="shared" si="4"/>
        <v>13196.667438223589</v>
      </c>
      <c r="K13" s="92">
        <v>0</v>
      </c>
      <c r="L13" s="93">
        <f t="shared" si="5"/>
        <v>158360.00925868304</v>
      </c>
      <c r="M13" s="142">
        <f t="shared" si="6"/>
        <v>26.548199372788439</v>
      </c>
      <c r="N13" s="83"/>
      <c r="O13" s="87"/>
      <c r="P13" s="87"/>
      <c r="Q13" s="87"/>
    </row>
    <row r="14" spans="1:17" ht="25.15" customHeight="1" x14ac:dyDescent="0.25">
      <c r="A14" s="85"/>
      <c r="B14" s="88" t="str">
        <f>Worksheet!D258</f>
        <v>09 00 00</v>
      </c>
      <c r="C14" s="89" t="str">
        <f>Worksheet!E258</f>
        <v>FINISHES</v>
      </c>
      <c r="D14" s="90">
        <f>Worksheet!J$508</f>
        <v>120391.79785079788</v>
      </c>
      <c r="E14" s="90">
        <f>Worksheet!$M508</f>
        <v>161605.36545705382</v>
      </c>
      <c r="F14" s="91">
        <f t="shared" si="1"/>
        <v>0</v>
      </c>
      <c r="G14" s="91">
        <f t="shared" si="2"/>
        <v>0</v>
      </c>
      <c r="H14" s="91">
        <f t="shared" si="7"/>
        <v>281997.1633078517</v>
      </c>
      <c r="I14" s="91">
        <f t="shared" si="3"/>
        <v>28199.716330785173</v>
      </c>
      <c r="J14" s="91">
        <f t="shared" si="4"/>
        <v>28199.716330785173</v>
      </c>
      <c r="K14" s="92">
        <v>0</v>
      </c>
      <c r="L14" s="93">
        <f t="shared" si="5"/>
        <v>338396.59596942208</v>
      </c>
      <c r="M14" s="142">
        <f t="shared" si="6"/>
        <v>56.730359760171346</v>
      </c>
      <c r="N14" s="83"/>
      <c r="O14" s="87"/>
      <c r="P14" s="87"/>
      <c r="Q14" s="87"/>
    </row>
    <row r="15" spans="1:17" ht="25.15" customHeight="1" x14ac:dyDescent="0.25">
      <c r="A15" s="85"/>
      <c r="B15" s="88" t="str">
        <f>Worksheet!D509</f>
        <v>10 00 00</v>
      </c>
      <c r="C15" s="89" t="str">
        <f>Worksheet!E509</f>
        <v>SPECIALTIES</v>
      </c>
      <c r="D15" s="90">
        <f>Worksheet!J$529</f>
        <v>10022.349999999999</v>
      </c>
      <c r="E15" s="90">
        <f>Worksheet!$M529</f>
        <v>3384.7652280000002</v>
      </c>
      <c r="F15" s="91">
        <f t="shared" si="1"/>
        <v>0</v>
      </c>
      <c r="G15" s="91">
        <f t="shared" si="2"/>
        <v>0</v>
      </c>
      <c r="H15" s="91">
        <f t="shared" si="7"/>
        <v>13407.115227999999</v>
      </c>
      <c r="I15" s="91">
        <f t="shared" si="3"/>
        <v>1340.7115228</v>
      </c>
      <c r="J15" s="91">
        <f t="shared" si="4"/>
        <v>1340.7115228</v>
      </c>
      <c r="K15" s="92">
        <v>0</v>
      </c>
      <c r="L15" s="93">
        <f t="shared" si="5"/>
        <v>16088.538273599999</v>
      </c>
      <c r="M15" s="142">
        <f t="shared" si="6"/>
        <v>2.6971564582732603</v>
      </c>
      <c r="N15" s="83"/>
      <c r="O15" s="87"/>
      <c r="P15" s="87"/>
      <c r="Q15" s="87"/>
    </row>
    <row r="16" spans="1:17" ht="25.15" customHeight="1" x14ac:dyDescent="0.25">
      <c r="A16" s="85"/>
      <c r="B16" s="88" t="str">
        <f>Worksheet!D530</f>
        <v>11 00 00</v>
      </c>
      <c r="C16" s="89" t="str">
        <f>Worksheet!E530</f>
        <v>EQUIPMENT</v>
      </c>
      <c r="D16" s="90">
        <f>Worksheet!J$535</f>
        <v>3053.6</v>
      </c>
      <c r="E16" s="90">
        <f>Worksheet!$M535</f>
        <v>500.98580000000004</v>
      </c>
      <c r="F16" s="91">
        <f t="shared" si="1"/>
        <v>0</v>
      </c>
      <c r="G16" s="91">
        <f t="shared" si="2"/>
        <v>0</v>
      </c>
      <c r="H16" s="91">
        <f t="shared" si="7"/>
        <v>3554.5857999999998</v>
      </c>
      <c r="I16" s="91">
        <f t="shared" si="3"/>
        <v>355.45857999999998</v>
      </c>
      <c r="J16" s="91">
        <f t="shared" si="4"/>
        <v>355.45857999999998</v>
      </c>
      <c r="K16" s="92">
        <v>0</v>
      </c>
      <c r="L16" s="93">
        <f t="shared" si="5"/>
        <v>4265.5029599999998</v>
      </c>
      <c r="M16" s="142">
        <f t="shared" si="6"/>
        <v>0.71508850963956405</v>
      </c>
      <c r="N16" s="83"/>
      <c r="O16" s="87"/>
      <c r="P16" s="87"/>
      <c r="Q16" s="87"/>
    </row>
    <row r="17" spans="1:17" ht="25.15" customHeight="1" x14ac:dyDescent="0.25">
      <c r="A17" s="85"/>
      <c r="B17" s="88" t="str">
        <f>Worksheet!D536</f>
        <v>12 00 00</v>
      </c>
      <c r="C17" s="89" t="str">
        <f>Worksheet!E536</f>
        <v>FURNISHINGS</v>
      </c>
      <c r="D17" s="90">
        <f>Worksheet!J$577</f>
        <v>143949.32232000004</v>
      </c>
      <c r="E17" s="90">
        <f>Worksheet!$M577</f>
        <v>25155.656004099998</v>
      </c>
      <c r="F17" s="91">
        <f t="shared" si="1"/>
        <v>0</v>
      </c>
      <c r="G17" s="91">
        <f t="shared" si="2"/>
        <v>0</v>
      </c>
      <c r="H17" s="91">
        <f t="shared" ref="H17:H27" si="8">D17+E17+F17+G17</f>
        <v>169104.97832410003</v>
      </c>
      <c r="I17" s="91">
        <f t="shared" si="3"/>
        <v>16910.497832410005</v>
      </c>
      <c r="J17" s="91">
        <f t="shared" si="4"/>
        <v>16910.497832410005</v>
      </c>
      <c r="K17" s="92">
        <v>0</v>
      </c>
      <c r="L17" s="93">
        <f t="shared" si="5"/>
        <v>202925.97398892004</v>
      </c>
      <c r="M17" s="142">
        <f t="shared" si="6"/>
        <v>34.019442412224649</v>
      </c>
      <c r="N17" s="83"/>
      <c r="O17" s="87"/>
      <c r="P17" s="87"/>
      <c r="Q17" s="87"/>
    </row>
    <row r="18" spans="1:17" ht="25.15" customHeight="1" x14ac:dyDescent="0.25">
      <c r="A18" s="85"/>
      <c r="B18" s="88" t="str">
        <f>Worksheet!D578</f>
        <v>14 00 00</v>
      </c>
      <c r="C18" s="89" t="str">
        <f>Worksheet!E578</f>
        <v>CONVEYING EQUIPMENT</v>
      </c>
      <c r="D18" s="90">
        <f>Worksheet!J$582</f>
        <v>0</v>
      </c>
      <c r="E18" s="90">
        <f>Worksheet!$M582</f>
        <v>0</v>
      </c>
      <c r="F18" s="91">
        <f t="shared" si="1"/>
        <v>0</v>
      </c>
      <c r="G18" s="91">
        <f t="shared" si="2"/>
        <v>0</v>
      </c>
      <c r="H18" s="91">
        <f t="shared" ref="H18" si="9">D18+E18+F18+G18</f>
        <v>0</v>
      </c>
      <c r="I18" s="91">
        <f t="shared" si="3"/>
        <v>0</v>
      </c>
      <c r="J18" s="91">
        <f t="shared" si="4"/>
        <v>0</v>
      </c>
      <c r="K18" s="92">
        <v>0</v>
      </c>
      <c r="L18" s="93">
        <f t="shared" si="5"/>
        <v>0</v>
      </c>
      <c r="M18" s="142">
        <f t="shared" si="6"/>
        <v>0</v>
      </c>
      <c r="N18" s="83"/>
      <c r="O18" s="87"/>
      <c r="P18" s="87"/>
      <c r="Q18" s="87"/>
    </row>
    <row r="19" spans="1:17" ht="20.100000000000001" customHeight="1" x14ac:dyDescent="0.25">
      <c r="A19" s="85"/>
      <c r="B19" s="167"/>
      <c r="C19" s="168" t="str">
        <f>Worksheet!E583</f>
        <v>FACILITY SERVICES SUBGROUP WORK</v>
      </c>
      <c r="D19" s="169"/>
      <c r="E19" s="169"/>
      <c r="F19" s="170"/>
      <c r="G19" s="170"/>
      <c r="H19" s="170"/>
      <c r="I19" s="170"/>
      <c r="J19" s="170"/>
      <c r="K19" s="171"/>
      <c r="L19" s="171"/>
      <c r="M19" s="166"/>
      <c r="N19" s="83"/>
      <c r="O19" s="87"/>
      <c r="P19" s="87"/>
      <c r="Q19" s="87"/>
    </row>
    <row r="20" spans="1:17" ht="25.15" customHeight="1" x14ac:dyDescent="0.25">
      <c r="A20" s="85"/>
      <c r="B20" s="88" t="str">
        <f>Worksheet!D584</f>
        <v>21 00 00</v>
      </c>
      <c r="C20" s="89" t="str">
        <f>Worksheet!E584</f>
        <v>FIRE SUPPRESSION</v>
      </c>
      <c r="D20" s="90">
        <f>Worksheet!J$635</f>
        <v>44121.318430000007</v>
      </c>
      <c r="E20" s="90">
        <f>Worksheet!M$635</f>
        <v>46105.932280000001</v>
      </c>
      <c r="F20" s="91">
        <f>D20*$D$34</f>
        <v>0</v>
      </c>
      <c r="G20" s="91">
        <f>E20*$D$37</f>
        <v>0</v>
      </c>
      <c r="H20" s="91">
        <f t="shared" ref="H20:H23" si="10">D20+E20+F20+G20</f>
        <v>90227.250710000008</v>
      </c>
      <c r="I20" s="91">
        <f>H20*$D$39</f>
        <v>9022.7250710000008</v>
      </c>
      <c r="J20" s="91">
        <f>H20*$D$40</f>
        <v>9022.7250710000008</v>
      </c>
      <c r="K20" s="92">
        <v>0</v>
      </c>
      <c r="L20" s="93">
        <f t="shared" si="5"/>
        <v>108272.70085200001</v>
      </c>
      <c r="M20" s="142">
        <f>L20/H$44</f>
        <v>18.151332917351215</v>
      </c>
      <c r="N20" s="83"/>
      <c r="O20" s="87"/>
      <c r="P20" s="87"/>
      <c r="Q20" s="87"/>
    </row>
    <row r="21" spans="1:17" ht="25.15" customHeight="1" x14ac:dyDescent="0.25">
      <c r="A21" s="85"/>
      <c r="B21" s="88" t="str">
        <f>Worksheet!D636</f>
        <v>22 00 00</v>
      </c>
      <c r="C21" s="89" t="str">
        <f>Worksheet!E636</f>
        <v>PLUMBING</v>
      </c>
      <c r="D21" s="90">
        <f>Worksheet!J$847</f>
        <v>73301.07441999999</v>
      </c>
      <c r="E21" s="90">
        <f>Worksheet!M$847</f>
        <v>117494.24041400004</v>
      </c>
      <c r="F21" s="91">
        <f>D21*$D$34</f>
        <v>0</v>
      </c>
      <c r="G21" s="91">
        <f>E21*$D$37</f>
        <v>0</v>
      </c>
      <c r="H21" s="91">
        <f t="shared" si="10"/>
        <v>190795.31483400002</v>
      </c>
      <c r="I21" s="91">
        <f>H21*$D$39</f>
        <v>19079.531483400002</v>
      </c>
      <c r="J21" s="91">
        <f>H21*$D$40</f>
        <v>19079.531483400002</v>
      </c>
      <c r="K21" s="92">
        <v>0</v>
      </c>
      <c r="L21" s="93">
        <f t="shared" si="5"/>
        <v>228954.37780080002</v>
      </c>
      <c r="M21" s="142">
        <f>L21/H$44</f>
        <v>38.382963587728419</v>
      </c>
      <c r="N21" s="83"/>
      <c r="O21" s="87"/>
      <c r="P21" s="87"/>
      <c r="Q21" s="87"/>
    </row>
    <row r="22" spans="1:17" ht="25.15" customHeight="1" x14ac:dyDescent="0.25">
      <c r="A22" s="85"/>
      <c r="B22" s="88" t="str">
        <f>Worksheet!D848</f>
        <v>23 00 00</v>
      </c>
      <c r="C22" s="89" t="str">
        <f>Worksheet!E848</f>
        <v>HEATING, VENTILATING &amp; AIR- CONDITIOINING</v>
      </c>
      <c r="D22" s="90">
        <f>Worksheet!J$954</f>
        <v>27748.082129999995</v>
      </c>
      <c r="E22" s="90">
        <f>Worksheet!M$954</f>
        <v>28565.519123000005</v>
      </c>
      <c r="F22" s="91">
        <f>D22*$D$34</f>
        <v>0</v>
      </c>
      <c r="G22" s="91">
        <f>E22*$D$37</f>
        <v>0</v>
      </c>
      <c r="H22" s="91">
        <f t="shared" si="10"/>
        <v>56313.601253000001</v>
      </c>
      <c r="I22" s="91">
        <f>H22*$D$39</f>
        <v>5631.3601253000006</v>
      </c>
      <c r="J22" s="91">
        <f>H22*$D$40</f>
        <v>5631.3601253000006</v>
      </c>
      <c r="K22" s="92">
        <v>0</v>
      </c>
      <c r="L22" s="93">
        <f t="shared" si="5"/>
        <v>67576.321503600004</v>
      </c>
      <c r="M22" s="142">
        <f>L22/H$44</f>
        <v>11.328804946119028</v>
      </c>
      <c r="N22" s="83"/>
      <c r="O22" s="87"/>
      <c r="P22" s="87"/>
      <c r="Q22" s="87"/>
    </row>
    <row r="23" spans="1:17" ht="25.15" customHeight="1" x14ac:dyDescent="0.25">
      <c r="A23" s="85"/>
      <c r="B23" s="88" t="str">
        <f>Worksheet!D955</f>
        <v>26 00 00</v>
      </c>
      <c r="C23" s="89" t="str">
        <f>Worksheet!E955</f>
        <v>ELECTRICAL</v>
      </c>
      <c r="D23" s="90">
        <f>Electrical!N184</f>
        <v>118150.1556960787</v>
      </c>
      <c r="E23" s="90">
        <f>Electrical!N185</f>
        <v>74606.49238044201</v>
      </c>
      <c r="F23" s="91">
        <f>D23*$D$34</f>
        <v>0</v>
      </c>
      <c r="G23" s="91">
        <f>E23*$D$37</f>
        <v>0</v>
      </c>
      <c r="H23" s="91">
        <f t="shared" si="10"/>
        <v>192756.64807652071</v>
      </c>
      <c r="I23" s="91">
        <f>H23*$D$39</f>
        <v>19275.664807652072</v>
      </c>
      <c r="J23" s="91">
        <f>H23*$D$40</f>
        <v>19275.664807652072</v>
      </c>
      <c r="K23" s="92">
        <v>0</v>
      </c>
      <c r="L23" s="93">
        <f t="shared" si="5"/>
        <v>231307.97769182484</v>
      </c>
      <c r="M23" s="142">
        <f>L23/H$44</f>
        <v>38.777531884631152</v>
      </c>
      <c r="N23" s="83"/>
      <c r="O23" s="87"/>
      <c r="P23" s="87"/>
      <c r="Q23" s="87"/>
    </row>
    <row r="24" spans="1:17" ht="20.100000000000001" customHeight="1" x14ac:dyDescent="0.25">
      <c r="A24" s="85"/>
      <c r="B24" s="167"/>
      <c r="C24" s="168" t="str">
        <f>Worksheet!E963</f>
        <v>SITE &amp; INFRASTRUCTURE SUBGROUP WORK</v>
      </c>
      <c r="D24" s="169"/>
      <c r="E24" s="169"/>
      <c r="F24" s="170"/>
      <c r="G24" s="170"/>
      <c r="H24" s="170"/>
      <c r="I24" s="170"/>
      <c r="J24" s="170"/>
      <c r="K24" s="171"/>
      <c r="L24" s="171"/>
      <c r="M24" s="166"/>
      <c r="N24" s="83"/>
      <c r="O24" s="87"/>
      <c r="P24" s="87"/>
      <c r="Q24" s="87"/>
    </row>
    <row r="25" spans="1:17" ht="25.15" customHeight="1" x14ac:dyDescent="0.25">
      <c r="A25" s="85"/>
      <c r="B25" s="88" t="str">
        <f>Worksheet!D964</f>
        <v>31 00 00</v>
      </c>
      <c r="C25" s="89" t="str">
        <f>Worksheet!E964</f>
        <v>EARTHWORK</v>
      </c>
      <c r="D25" s="90">
        <f>Worksheet!J$990</f>
        <v>49232.398776999995</v>
      </c>
      <c r="E25" s="90">
        <f>Worksheet!$M990</f>
        <v>250582.744507533</v>
      </c>
      <c r="F25" s="91">
        <f>D25*$D$34</f>
        <v>0</v>
      </c>
      <c r="G25" s="91">
        <f>E25*$D$37</f>
        <v>0</v>
      </c>
      <c r="H25" s="91">
        <f t="shared" si="8"/>
        <v>299815.143284533</v>
      </c>
      <c r="I25" s="91">
        <f>H25*$D$39</f>
        <v>29981.514328453301</v>
      </c>
      <c r="J25" s="91">
        <f>H25*$D$40</f>
        <v>29981.514328453301</v>
      </c>
      <c r="K25" s="92">
        <v>0</v>
      </c>
      <c r="L25" s="93">
        <f t="shared" si="5"/>
        <v>359778.17194143956</v>
      </c>
      <c r="M25" s="142">
        <f>L25/H$44</f>
        <v>60.314865371574108</v>
      </c>
      <c r="N25" s="83"/>
      <c r="O25" s="87"/>
      <c r="P25" s="87"/>
      <c r="Q25" s="87"/>
    </row>
    <row r="26" spans="1:17" ht="25.15" customHeight="1" x14ac:dyDescent="0.25">
      <c r="A26" s="85"/>
      <c r="B26" s="88" t="str">
        <f>Worksheet!D991</f>
        <v>32 00 00</v>
      </c>
      <c r="C26" s="89" t="str">
        <f>Worksheet!E991</f>
        <v>EXTERIOR IMPROVEMENTS</v>
      </c>
      <c r="D26" s="90">
        <f>Worksheet!J$1072</f>
        <v>215205.75701360006</v>
      </c>
      <c r="E26" s="90">
        <f>Worksheet!$M1072</f>
        <v>187617.00893025586</v>
      </c>
      <c r="F26" s="91">
        <f>D26*$D$34</f>
        <v>0</v>
      </c>
      <c r="G26" s="91">
        <f>E26*$D$37</f>
        <v>0</v>
      </c>
      <c r="H26" s="91">
        <f t="shared" ref="H26" si="11">D26+E26+F26+G26</f>
        <v>402822.76594385592</v>
      </c>
      <c r="I26" s="91">
        <f>H26*$D$39</f>
        <v>40282.276594385592</v>
      </c>
      <c r="J26" s="91">
        <f>H26*$D$40</f>
        <v>40282.276594385592</v>
      </c>
      <c r="K26" s="92">
        <v>0</v>
      </c>
      <c r="L26" s="93">
        <f t="shared" si="5"/>
        <v>483387.3191326271</v>
      </c>
      <c r="M26" s="142">
        <f>L26/H$44</f>
        <v>81.037270600608068</v>
      </c>
      <c r="N26" s="83"/>
      <c r="O26" s="87"/>
      <c r="P26" s="87"/>
      <c r="Q26" s="87"/>
    </row>
    <row r="27" spans="1:17" ht="25.15" customHeight="1" x14ac:dyDescent="0.25">
      <c r="A27" s="85"/>
      <c r="B27" s="88" t="str">
        <f>Worksheet!D1073</f>
        <v>33 00 00</v>
      </c>
      <c r="C27" s="89" t="str">
        <f>Worksheet!E1073</f>
        <v>UTILITIES</v>
      </c>
      <c r="D27" s="90">
        <f>Worksheet!J$1114</f>
        <v>123907.04341696299</v>
      </c>
      <c r="E27" s="90">
        <f>Worksheet!$M1114</f>
        <v>68767.262148045644</v>
      </c>
      <c r="F27" s="91">
        <f>D27*$D$34</f>
        <v>0</v>
      </c>
      <c r="G27" s="91">
        <f>E27*$D$37</f>
        <v>0</v>
      </c>
      <c r="H27" s="91">
        <f t="shared" si="8"/>
        <v>192674.30556500863</v>
      </c>
      <c r="I27" s="91">
        <f>H27*$D$39</f>
        <v>19267.430556500865</v>
      </c>
      <c r="J27" s="91">
        <f>H27*$D$40</f>
        <v>19267.430556500865</v>
      </c>
      <c r="K27" s="92">
        <v>0</v>
      </c>
      <c r="L27" s="93">
        <f t="shared" si="5"/>
        <v>231209.16667801034</v>
      </c>
      <c r="M27" s="142">
        <f>L27/H$44</f>
        <v>38.760966752390672</v>
      </c>
      <c r="N27" s="83"/>
      <c r="O27" s="87"/>
      <c r="P27" s="87"/>
      <c r="Q27" s="87"/>
    </row>
    <row r="28" spans="1:17" ht="20.100000000000001" customHeight="1" x14ac:dyDescent="0.25">
      <c r="A28" s="85"/>
      <c r="B28" s="94"/>
      <c r="C28" s="89"/>
      <c r="D28" s="90"/>
      <c r="E28" s="91"/>
      <c r="F28" s="91"/>
      <c r="G28" s="91"/>
      <c r="H28" s="91"/>
      <c r="I28" s="91"/>
      <c r="J28" s="91"/>
      <c r="K28" s="91"/>
      <c r="L28" s="93"/>
      <c r="M28" s="75"/>
      <c r="N28" s="83"/>
      <c r="O28" s="87"/>
      <c r="P28" s="87"/>
      <c r="Q28" s="87"/>
    </row>
    <row r="29" spans="1:17" ht="20.100000000000001" customHeight="1" x14ac:dyDescent="0.25">
      <c r="A29" s="85"/>
      <c r="B29" s="150"/>
      <c r="C29" s="147" t="s">
        <v>23</v>
      </c>
      <c r="D29" s="148">
        <f>SUM(D6:D28)</f>
        <v>1296786.1248149734</v>
      </c>
      <c r="E29" s="148">
        <f t="shared" ref="E29:J29" si="12">SUM(E6:E28)</f>
        <v>1206761.9066439655</v>
      </c>
      <c r="F29" s="148">
        <f t="shared" si="12"/>
        <v>0</v>
      </c>
      <c r="G29" s="148">
        <f t="shared" si="12"/>
        <v>0</v>
      </c>
      <c r="H29" s="148">
        <f t="shared" si="12"/>
        <v>2503548.031458939</v>
      </c>
      <c r="I29" s="148">
        <f t="shared" si="12"/>
        <v>250354.80314589394</v>
      </c>
      <c r="J29" s="148">
        <f t="shared" si="12"/>
        <v>250354.80314589394</v>
      </c>
      <c r="K29" s="77">
        <f>SUM(K6:K28)</f>
        <v>0</v>
      </c>
      <c r="L29" s="149">
        <f>SUM(L6:L28)</f>
        <v>3004257.6377507267</v>
      </c>
      <c r="M29" s="143">
        <f>L29/H$44</f>
        <v>503.64755033541098</v>
      </c>
      <c r="N29" s="83"/>
      <c r="O29" s="87"/>
      <c r="P29" s="87"/>
      <c r="Q29" s="87"/>
    </row>
    <row r="30" spans="1:17" ht="20.100000000000001" customHeight="1" thickBot="1" x14ac:dyDescent="0.3">
      <c r="A30" s="85"/>
      <c r="B30" s="95"/>
      <c r="C30" s="96"/>
      <c r="D30" s="97"/>
      <c r="E30" s="97"/>
      <c r="F30" s="97"/>
      <c r="G30" s="97"/>
      <c r="H30" s="97"/>
      <c r="I30" s="97"/>
      <c r="J30" s="97"/>
      <c r="K30" s="98"/>
      <c r="L30" s="98"/>
      <c r="M30" s="73"/>
      <c r="N30" s="83"/>
    </row>
    <row r="31" spans="1:17" ht="15.75" thickBot="1" x14ac:dyDescent="0.3">
      <c r="A31" s="85"/>
      <c r="M31" s="84"/>
      <c r="N31" s="83"/>
    </row>
    <row r="32" spans="1:17" ht="30" customHeight="1" thickBot="1" x14ac:dyDescent="0.3">
      <c r="A32" s="85"/>
      <c r="B32" s="383" t="s">
        <v>15</v>
      </c>
      <c r="C32" s="384"/>
      <c r="D32" s="384"/>
      <c r="E32" s="385"/>
      <c r="F32" s="84"/>
      <c r="G32" s="383" t="s">
        <v>41</v>
      </c>
      <c r="H32" s="384"/>
      <c r="I32" s="384"/>
      <c r="J32" s="384"/>
      <c r="K32" s="384"/>
      <c r="L32" s="385"/>
      <c r="M32" s="84"/>
      <c r="N32" s="83"/>
    </row>
    <row r="33" spans="1:17" ht="25.15" customHeight="1" thickBot="1" x14ac:dyDescent="0.3">
      <c r="A33" s="85"/>
      <c r="B33" s="99">
        <v>1</v>
      </c>
      <c r="C33" s="63" t="s">
        <v>25</v>
      </c>
      <c r="D33" s="12"/>
      <c r="E33" s="11">
        <f>D29</f>
        <v>1296786.1248149734</v>
      </c>
      <c r="F33" s="84"/>
      <c r="G33" s="88">
        <v>1</v>
      </c>
      <c r="H33" s="386" t="s">
        <v>39</v>
      </c>
      <c r="I33" s="386"/>
      <c r="J33" s="386"/>
      <c r="K33" s="100"/>
      <c r="L33" s="23">
        <f>Worksheet!P$1116+Electrical!N186</f>
        <v>16085.404673603443</v>
      </c>
      <c r="M33" s="84"/>
      <c r="N33" s="83"/>
    </row>
    <row r="34" spans="1:17" ht="25.15" customHeight="1" thickBot="1" x14ac:dyDescent="0.3">
      <c r="A34" s="85"/>
      <c r="B34" s="94"/>
      <c r="C34" s="101" t="s">
        <v>27</v>
      </c>
      <c r="D34" s="15"/>
      <c r="E34" s="102">
        <f>E33*D34</f>
        <v>0</v>
      </c>
      <c r="F34" s="84"/>
      <c r="G34" s="94">
        <v>2</v>
      </c>
      <c r="H34" s="382" t="s">
        <v>40</v>
      </c>
      <c r="I34" s="382"/>
      <c r="J34" s="382"/>
      <c r="K34" s="103"/>
      <c r="L34" s="32">
        <f>L33/8</f>
        <v>2010.6755842004304</v>
      </c>
      <c r="M34" s="84"/>
      <c r="N34" s="83"/>
    </row>
    <row r="35" spans="1:17" ht="25.15" customHeight="1" x14ac:dyDescent="0.25">
      <c r="A35" s="85"/>
      <c r="B35" s="94"/>
      <c r="C35" s="104" t="s">
        <v>32</v>
      </c>
      <c r="D35" s="16"/>
      <c r="E35" s="105"/>
      <c r="F35" s="84"/>
      <c r="G35" s="94">
        <v>3</v>
      </c>
      <c r="H35" s="382" t="s">
        <v>35</v>
      </c>
      <c r="I35" s="382"/>
      <c r="J35" s="382"/>
      <c r="K35" s="103"/>
      <c r="L35" s="19">
        <f>J36+J37+J38</f>
        <v>5</v>
      </c>
      <c r="M35" s="84"/>
      <c r="N35" s="83"/>
    </row>
    <row r="36" spans="1:17" ht="25.15" customHeight="1" thickBot="1" x14ac:dyDescent="0.3">
      <c r="A36" s="85"/>
      <c r="B36" s="94">
        <v>2</v>
      </c>
      <c r="C36" s="64" t="s">
        <v>26</v>
      </c>
      <c r="D36" s="13"/>
      <c r="E36" s="5">
        <f>E29</f>
        <v>1206761.9066439655</v>
      </c>
      <c r="F36" s="84"/>
      <c r="G36" s="94">
        <v>4</v>
      </c>
      <c r="H36" s="382" t="s">
        <v>49</v>
      </c>
      <c r="I36" s="382"/>
      <c r="J36" s="106">
        <v>3</v>
      </c>
      <c r="K36" s="107"/>
      <c r="L36" s="108"/>
      <c r="M36" s="84"/>
      <c r="N36" s="83"/>
      <c r="O36" s="87"/>
      <c r="P36" s="87"/>
      <c r="Q36" s="87"/>
    </row>
    <row r="37" spans="1:17" ht="25.15" customHeight="1" thickBot="1" x14ac:dyDescent="0.3">
      <c r="A37" s="85"/>
      <c r="B37" s="94"/>
      <c r="C37" s="101" t="s">
        <v>19</v>
      </c>
      <c r="D37" s="15"/>
      <c r="E37" s="102">
        <f>E36*D37</f>
        <v>0</v>
      </c>
      <c r="F37" s="84"/>
      <c r="G37" s="94">
        <v>5</v>
      </c>
      <c r="H37" s="382" t="s">
        <v>37</v>
      </c>
      <c r="I37" s="382"/>
      <c r="J37" s="106">
        <v>1</v>
      </c>
      <c r="K37" s="107"/>
      <c r="L37" s="108"/>
      <c r="M37" s="84"/>
      <c r="N37" s="83"/>
      <c r="O37" s="87"/>
      <c r="P37" s="87"/>
      <c r="Q37" s="87"/>
    </row>
    <row r="38" spans="1:17" ht="25.15" customHeight="1" thickBot="1" x14ac:dyDescent="0.3">
      <c r="A38" s="85"/>
      <c r="B38" s="94">
        <v>3</v>
      </c>
      <c r="C38" s="64" t="s">
        <v>20</v>
      </c>
      <c r="D38" s="13"/>
      <c r="E38" s="5">
        <f>SUM(E33:E37)</f>
        <v>2503548.031458939</v>
      </c>
      <c r="F38" s="84"/>
      <c r="G38" s="94">
        <v>6</v>
      </c>
      <c r="H38" s="382" t="s">
        <v>38</v>
      </c>
      <c r="I38" s="382"/>
      <c r="J38" s="106">
        <v>1</v>
      </c>
      <c r="K38" s="107"/>
      <c r="L38" s="108"/>
      <c r="M38" s="84"/>
      <c r="N38" s="83"/>
      <c r="O38" s="87"/>
      <c r="P38" s="87"/>
      <c r="Q38" s="87"/>
    </row>
    <row r="39" spans="1:17" ht="25.15" customHeight="1" thickBot="1" x14ac:dyDescent="0.3">
      <c r="A39" s="85"/>
      <c r="B39" s="94"/>
      <c r="C39" s="101" t="s">
        <v>28</v>
      </c>
      <c r="D39" s="26">
        <v>0.1</v>
      </c>
      <c r="E39" s="102">
        <f>E38*D39</f>
        <v>250354.80314589391</v>
      </c>
      <c r="F39" s="84"/>
      <c r="G39" s="94">
        <v>7</v>
      </c>
      <c r="H39" s="382" t="s">
        <v>14</v>
      </c>
      <c r="I39" s="382"/>
      <c r="J39" s="382"/>
      <c r="K39" s="103"/>
      <c r="L39" s="108">
        <f>(L36*J36/L35)+(L37*J37/L35)+(L38*J38/L35)</f>
        <v>0</v>
      </c>
      <c r="M39" s="84"/>
      <c r="N39" s="83"/>
      <c r="O39" s="87"/>
      <c r="P39" s="87"/>
      <c r="Q39" s="87"/>
    </row>
    <row r="40" spans="1:17" ht="25.15" customHeight="1" thickBot="1" x14ac:dyDescent="0.3">
      <c r="A40" s="85"/>
      <c r="B40" s="94"/>
      <c r="C40" s="101" t="s">
        <v>33</v>
      </c>
      <c r="D40" s="26">
        <v>0.1</v>
      </c>
      <c r="E40" s="102">
        <f>E38*D40</f>
        <v>250354.80314589391</v>
      </c>
      <c r="F40" s="84"/>
      <c r="G40" s="95">
        <v>8</v>
      </c>
      <c r="H40" s="381" t="s">
        <v>249</v>
      </c>
      <c r="I40" s="381"/>
      <c r="J40" s="381"/>
      <c r="K40" s="109"/>
      <c r="L40" s="27">
        <v>73.03</v>
      </c>
      <c r="M40" s="84"/>
      <c r="N40" s="83"/>
      <c r="O40" s="87"/>
      <c r="P40" s="87"/>
      <c r="Q40" s="87"/>
    </row>
    <row r="41" spans="1:17" ht="25.15" customHeight="1" thickBot="1" x14ac:dyDescent="0.3">
      <c r="A41" s="85"/>
      <c r="B41" s="94">
        <v>4</v>
      </c>
      <c r="C41" s="64" t="s">
        <v>240</v>
      </c>
      <c r="D41" s="14"/>
      <c r="E41" s="5">
        <f>SUM(E38:E40)</f>
        <v>3004257.6377507267</v>
      </c>
      <c r="F41" s="84"/>
      <c r="G41" s="86"/>
      <c r="H41" s="65"/>
      <c r="I41" s="21"/>
      <c r="J41" s="22"/>
      <c r="K41" s="22"/>
      <c r="L41" s="84"/>
      <c r="M41" s="84"/>
      <c r="N41" s="83"/>
      <c r="O41" s="87"/>
      <c r="P41" s="87"/>
      <c r="Q41" s="87"/>
    </row>
    <row r="42" spans="1:17" ht="25.15" customHeight="1" thickBot="1" x14ac:dyDescent="0.3">
      <c r="A42" s="85"/>
      <c r="B42" s="94"/>
      <c r="C42" s="101" t="s">
        <v>193</v>
      </c>
      <c r="D42" s="15"/>
      <c r="E42" s="102">
        <f>D42*E41</f>
        <v>0</v>
      </c>
      <c r="F42" s="84"/>
      <c r="G42" s="110"/>
      <c r="H42" s="378" t="s">
        <v>42</v>
      </c>
      <c r="I42" s="379"/>
      <c r="J42" s="379"/>
      <c r="K42" s="379"/>
      <c r="L42" s="380"/>
      <c r="M42" s="84"/>
      <c r="N42" s="83"/>
      <c r="O42" s="87"/>
      <c r="P42" s="87"/>
      <c r="Q42" s="87"/>
    </row>
    <row r="43" spans="1:17" ht="25.15" customHeight="1" thickBot="1" x14ac:dyDescent="0.3">
      <c r="A43" s="85"/>
      <c r="B43" s="94"/>
      <c r="C43" s="104" t="s">
        <v>194</v>
      </c>
      <c r="D43" s="17"/>
      <c r="E43" s="105">
        <v>0</v>
      </c>
      <c r="F43" s="84"/>
      <c r="G43" s="86"/>
      <c r="H43" s="84"/>
      <c r="I43" s="21"/>
      <c r="J43" s="84"/>
      <c r="K43" s="84"/>
      <c r="L43" s="84"/>
      <c r="M43" s="84"/>
      <c r="N43" s="83"/>
      <c r="O43" s="87"/>
      <c r="P43" s="87"/>
      <c r="Q43" s="87"/>
    </row>
    <row r="44" spans="1:17" ht="30.75" thickBot="1" x14ac:dyDescent="0.3">
      <c r="A44" s="85"/>
      <c r="B44" s="94"/>
      <c r="C44" s="111" t="s">
        <v>195</v>
      </c>
      <c r="D44" s="17"/>
      <c r="E44" s="105">
        <v>0</v>
      </c>
      <c r="F44" s="84"/>
      <c r="G44" s="144" t="s">
        <v>213</v>
      </c>
      <c r="H44" s="145">
        <v>5965</v>
      </c>
      <c r="I44" s="146" t="s">
        <v>214</v>
      </c>
      <c r="J44" s="84"/>
      <c r="K44" s="84"/>
      <c r="L44" s="84"/>
      <c r="M44" s="84"/>
      <c r="N44" s="83"/>
      <c r="O44" s="87"/>
      <c r="P44" s="87"/>
      <c r="Q44" s="87"/>
    </row>
    <row r="45" spans="1:17" ht="25.15" customHeight="1" x14ac:dyDescent="0.25">
      <c r="A45" s="85"/>
      <c r="B45" s="94"/>
      <c r="C45" s="104" t="s">
        <v>196</v>
      </c>
      <c r="D45" s="17"/>
      <c r="E45" s="105">
        <v>0</v>
      </c>
      <c r="F45" s="84"/>
      <c r="G45" s="86"/>
      <c r="H45" s="84"/>
      <c r="I45" s="21"/>
      <c r="J45" s="84"/>
      <c r="K45" s="84"/>
      <c r="L45" s="84"/>
      <c r="M45" s="84"/>
      <c r="N45" s="83"/>
      <c r="O45" s="87"/>
      <c r="P45" s="87"/>
      <c r="Q45" s="87"/>
    </row>
    <row r="46" spans="1:17" ht="25.15" customHeight="1" x14ac:dyDescent="0.25">
      <c r="A46" s="85"/>
      <c r="B46" s="94"/>
      <c r="C46" s="104" t="s">
        <v>197</v>
      </c>
      <c r="D46" s="17"/>
      <c r="E46" s="105">
        <v>0</v>
      </c>
      <c r="F46" s="84"/>
      <c r="G46" s="86"/>
      <c r="H46" s="84"/>
      <c r="I46" s="21"/>
      <c r="J46" s="84"/>
      <c r="K46" s="84"/>
      <c r="L46" s="84"/>
      <c r="M46" s="84"/>
      <c r="N46" s="83"/>
      <c r="O46" s="87"/>
      <c r="P46" s="87"/>
      <c r="Q46" s="87"/>
    </row>
    <row r="47" spans="1:17" ht="25.15" customHeight="1" x14ac:dyDescent="0.25">
      <c r="A47" s="85"/>
      <c r="B47" s="94"/>
      <c r="C47" s="104" t="s">
        <v>198</v>
      </c>
      <c r="D47" s="17"/>
      <c r="E47" s="105">
        <v>0</v>
      </c>
      <c r="F47" s="84"/>
      <c r="G47" s="86"/>
      <c r="H47" s="84"/>
      <c r="I47" s="21"/>
      <c r="J47" s="84"/>
      <c r="K47" s="84"/>
      <c r="L47" s="84"/>
      <c r="M47" s="84"/>
      <c r="N47" s="83"/>
      <c r="O47" s="87"/>
      <c r="P47" s="87"/>
      <c r="Q47" s="87"/>
    </row>
    <row r="48" spans="1:17" ht="25.15" customHeight="1" x14ac:dyDescent="0.25">
      <c r="A48" s="85"/>
      <c r="B48" s="94"/>
      <c r="C48" s="104" t="s">
        <v>199</v>
      </c>
      <c r="D48" s="17"/>
      <c r="E48" s="105">
        <v>0</v>
      </c>
      <c r="F48" s="84"/>
      <c r="G48" s="86"/>
      <c r="H48" s="84"/>
      <c r="I48" s="21"/>
      <c r="J48" s="84"/>
      <c r="K48" s="84"/>
      <c r="L48" s="84"/>
      <c r="M48" s="84"/>
      <c r="N48" s="83"/>
      <c r="O48" s="87"/>
      <c r="P48" s="87"/>
      <c r="Q48" s="87"/>
    </row>
    <row r="49" spans="1:17" ht="25.15" customHeight="1" x14ac:dyDescent="0.25">
      <c r="A49" s="85"/>
      <c r="B49" s="94"/>
      <c r="C49" s="104" t="s">
        <v>200</v>
      </c>
      <c r="D49" s="17"/>
      <c r="E49" s="105">
        <v>0</v>
      </c>
      <c r="F49" s="84"/>
      <c r="G49" s="86"/>
      <c r="H49" s="84"/>
      <c r="I49" s="21"/>
      <c r="J49" s="84"/>
      <c r="K49" s="84"/>
      <c r="L49" s="84"/>
      <c r="M49" s="84"/>
      <c r="N49" s="83"/>
      <c r="O49" s="87"/>
      <c r="P49" s="87"/>
      <c r="Q49" s="87"/>
    </row>
    <row r="50" spans="1:17" ht="25.15" customHeight="1" x14ac:dyDescent="0.25">
      <c r="A50" s="85"/>
      <c r="B50" s="94"/>
      <c r="C50" s="104" t="s">
        <v>29</v>
      </c>
      <c r="D50" s="17"/>
      <c r="E50" s="105">
        <v>0</v>
      </c>
      <c r="F50" s="84"/>
      <c r="G50" s="86"/>
      <c r="H50" s="84"/>
      <c r="I50" s="21"/>
      <c r="J50" s="84"/>
      <c r="K50" s="84"/>
      <c r="L50" s="84"/>
      <c r="M50" s="84"/>
      <c r="N50" s="83"/>
      <c r="O50" s="87"/>
      <c r="P50" s="87"/>
      <c r="Q50" s="87"/>
    </row>
    <row r="51" spans="1:17" ht="25.15" customHeight="1" x14ac:dyDescent="0.25">
      <c r="A51" s="85"/>
      <c r="B51" s="94"/>
      <c r="C51" s="104" t="s">
        <v>36</v>
      </c>
      <c r="D51" s="17"/>
      <c r="E51" s="105">
        <v>0</v>
      </c>
      <c r="F51" s="84"/>
      <c r="G51" s="86"/>
      <c r="H51" s="84"/>
      <c r="I51" s="21"/>
      <c r="J51" s="84"/>
      <c r="K51" s="84"/>
      <c r="L51" s="84"/>
      <c r="M51" s="84"/>
      <c r="N51" s="83"/>
      <c r="O51" s="87"/>
      <c r="P51" s="87"/>
      <c r="Q51" s="87"/>
    </row>
    <row r="52" spans="1:17" ht="25.15" customHeight="1" thickBot="1" x14ac:dyDescent="0.3">
      <c r="A52" s="85"/>
      <c r="B52" s="94"/>
      <c r="C52" s="104" t="s">
        <v>30</v>
      </c>
      <c r="D52" s="18"/>
      <c r="E52" s="105">
        <v>0</v>
      </c>
      <c r="F52" s="84"/>
      <c r="G52" s="86"/>
      <c r="H52" s="84"/>
      <c r="I52" s="21"/>
      <c r="J52" s="84"/>
      <c r="K52" s="84"/>
      <c r="L52" s="84"/>
      <c r="M52" s="84"/>
      <c r="N52" s="83"/>
      <c r="O52" s="87"/>
      <c r="P52" s="87"/>
      <c r="Q52" s="87"/>
    </row>
    <row r="53" spans="1:17" ht="25.15" customHeight="1" thickBot="1" x14ac:dyDescent="0.3">
      <c r="A53" s="85"/>
      <c r="B53" s="94"/>
      <c r="C53" s="112" t="s">
        <v>31</v>
      </c>
      <c r="D53" s="15"/>
      <c r="E53" s="102">
        <f>D53*E41</f>
        <v>0</v>
      </c>
      <c r="F53" s="84"/>
      <c r="G53" s="86"/>
      <c r="H53" s="84"/>
      <c r="I53" s="20"/>
      <c r="L53" s="84"/>
      <c r="M53" s="84"/>
      <c r="N53" s="83"/>
      <c r="O53" s="87"/>
      <c r="P53" s="87"/>
      <c r="Q53" s="87"/>
    </row>
    <row r="54" spans="1:17" ht="25.15" customHeight="1" thickBot="1" x14ac:dyDescent="0.3">
      <c r="A54" s="85"/>
      <c r="B54" s="113"/>
      <c r="C54" s="114"/>
      <c r="D54" s="24"/>
      <c r="E54" s="115"/>
      <c r="F54" s="84"/>
      <c r="G54" s="86"/>
      <c r="H54" s="84"/>
      <c r="I54" s="10"/>
      <c r="J54" s="84"/>
      <c r="K54" s="84"/>
      <c r="L54" s="84"/>
      <c r="M54" s="84"/>
      <c r="N54" s="83"/>
      <c r="O54" s="87"/>
      <c r="P54" s="87"/>
      <c r="Q54" s="87"/>
    </row>
    <row r="55" spans="1:17" ht="25.15" customHeight="1" thickBot="1" x14ac:dyDescent="0.3">
      <c r="A55" s="85"/>
      <c r="B55" s="116">
        <v>5</v>
      </c>
      <c r="C55" s="66" t="s">
        <v>34</v>
      </c>
      <c r="D55" s="25"/>
      <c r="E55" s="67">
        <f>SUM(E41:E54)</f>
        <v>3004257.6377507267</v>
      </c>
      <c r="F55" s="84"/>
      <c r="G55" s="86"/>
      <c r="H55" s="65"/>
      <c r="I55" s="84"/>
      <c r="L55" s="84"/>
      <c r="M55" s="84"/>
      <c r="N55" s="83"/>
      <c r="O55" s="87"/>
      <c r="P55" s="87"/>
      <c r="Q55" s="87"/>
    </row>
    <row r="56" spans="1:17" x14ac:dyDescent="0.25">
      <c r="A56" s="85"/>
      <c r="B56" s="84"/>
      <c r="E56" s="84"/>
      <c r="F56" s="84"/>
      <c r="G56" s="84"/>
      <c r="H56" s="84"/>
      <c r="I56" s="84"/>
      <c r="J56" s="84"/>
      <c r="K56" s="84"/>
      <c r="L56" s="84"/>
      <c r="M56" s="84"/>
      <c r="N56" s="83"/>
    </row>
    <row r="57" spans="1:17" ht="15.75" thickBot="1" x14ac:dyDescent="0.3">
      <c r="A57" s="117"/>
      <c r="B57" s="118"/>
      <c r="C57" s="119"/>
      <c r="D57" s="119"/>
      <c r="E57" s="120"/>
      <c r="F57" s="120"/>
      <c r="G57" s="120"/>
      <c r="H57" s="120"/>
      <c r="I57" s="120"/>
      <c r="J57" s="120"/>
      <c r="K57" s="120"/>
      <c r="L57" s="120"/>
      <c r="M57" s="120"/>
      <c r="N57" s="121"/>
    </row>
  </sheetData>
  <mergeCells count="13">
    <mergeCell ref="B32:E32"/>
    <mergeCell ref="G32:L32"/>
    <mergeCell ref="H33:J33"/>
    <mergeCell ref="B3:M3"/>
    <mergeCell ref="A1:M1"/>
    <mergeCell ref="H42:L42"/>
    <mergeCell ref="H40:J40"/>
    <mergeCell ref="H34:J34"/>
    <mergeCell ref="H35:J35"/>
    <mergeCell ref="H39:J39"/>
    <mergeCell ref="H36:I36"/>
    <mergeCell ref="H37:I37"/>
    <mergeCell ref="H38:I38"/>
  </mergeCells>
  <printOptions horizontalCentered="1"/>
  <pageMargins left="0.7" right="0.7" top="0.75" bottom="0.75" header="0.3" footer="0.3"/>
  <pageSetup paperSize="9" scale="36" orientation="landscape" r:id="rId1"/>
  <ignoredErrors>
    <ignoredError sqref="E3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39997558519241921"/>
    <pageSetUpPr fitToPage="1"/>
  </sheetPr>
  <dimension ref="A1:R1126"/>
  <sheetViews>
    <sheetView tabSelected="1" view="pageBreakPreview" zoomScale="70" zoomScaleNormal="70" zoomScaleSheetLayoutView="70" workbookViewId="0">
      <selection activeCell="E8" sqref="E8"/>
    </sheetView>
  </sheetViews>
  <sheetFormatPr defaultColWidth="8.85546875" defaultRowHeight="15" x14ac:dyDescent="0.25"/>
  <cols>
    <col min="1" max="1" width="6.140625" style="84" customWidth="1"/>
    <col min="2" max="2" width="12.42578125" style="84" customWidth="1"/>
    <col min="3" max="3" width="16.7109375" style="84" customWidth="1"/>
    <col min="4" max="4" width="12.85546875" style="132" bestFit="1" customWidth="1"/>
    <col min="5" max="5" width="82.7109375" style="133" bestFit="1" customWidth="1"/>
    <col min="6" max="6" width="11.5703125" style="134" customWidth="1"/>
    <col min="7" max="7" width="11.7109375" style="86" customWidth="1"/>
    <col min="8" max="8" width="11.85546875" style="86" customWidth="1"/>
    <col min="9" max="9" width="18.7109375" style="134" customWidth="1"/>
    <col min="10" max="12" width="18.7109375" style="135" customWidth="1"/>
    <col min="13" max="14" width="18.7109375" style="61" customWidth="1"/>
    <col min="15" max="15" width="18.7109375" style="135" customWidth="1"/>
    <col min="16" max="16" width="18.7109375" style="62" customWidth="1"/>
    <col min="17" max="17" width="24.7109375" style="4" customWidth="1"/>
    <col min="18" max="18" width="12.28515625" style="84" bestFit="1" customWidth="1"/>
    <col min="19" max="19" width="8.85546875" style="84"/>
    <col min="20" max="20" width="14.5703125" style="84" bestFit="1" customWidth="1"/>
    <col min="21" max="16384" width="8.85546875" style="84"/>
  </cols>
  <sheetData>
    <row r="1" spans="1:17" ht="39.950000000000003" customHeight="1" thickBot="1" x14ac:dyDescent="0.3">
      <c r="A1" s="482" t="s">
        <v>1243</v>
      </c>
      <c r="B1" s="483"/>
      <c r="C1" s="483"/>
      <c r="D1" s="484"/>
      <c r="E1" s="407" t="s">
        <v>253</v>
      </c>
      <c r="F1" s="408"/>
      <c r="G1" s="408"/>
      <c r="H1" s="408"/>
      <c r="I1" s="408"/>
      <c r="J1" s="408"/>
      <c r="K1" s="408"/>
      <c r="L1" s="409"/>
      <c r="M1" s="405" t="s">
        <v>224</v>
      </c>
      <c r="N1" s="406"/>
      <c r="O1" s="422">
        <f>SUM(Q$1118+Q$1119)</f>
        <v>2310791.3833824177</v>
      </c>
      <c r="P1" s="423"/>
      <c r="Q1" s="424"/>
    </row>
    <row r="2" spans="1:17" ht="39.950000000000003" customHeight="1" thickBot="1" x14ac:dyDescent="0.3">
      <c r="A2" s="485"/>
      <c r="B2" s="486"/>
      <c r="C2" s="486"/>
      <c r="D2" s="487"/>
      <c r="E2" s="403" t="s">
        <v>255</v>
      </c>
      <c r="F2" s="404"/>
      <c r="G2" s="404"/>
      <c r="H2" s="404"/>
      <c r="I2" s="404"/>
      <c r="J2" s="404"/>
      <c r="K2" s="404"/>
      <c r="L2" s="404"/>
      <c r="M2" s="405" t="s">
        <v>219</v>
      </c>
      <c r="N2" s="406"/>
      <c r="O2" s="422">
        <f>O$1*'Bid Recap &amp; Summary'!D$39</f>
        <v>231079.13833824178</v>
      </c>
      <c r="P2" s="423"/>
      <c r="Q2" s="424"/>
    </row>
    <row r="3" spans="1:17" ht="39.950000000000003" customHeight="1" thickBot="1" x14ac:dyDescent="0.3">
      <c r="A3" s="485"/>
      <c r="B3" s="486"/>
      <c r="C3" s="486"/>
      <c r="D3" s="487"/>
      <c r="E3" s="136" t="s">
        <v>221</v>
      </c>
      <c r="F3" s="404" t="s">
        <v>254</v>
      </c>
      <c r="G3" s="404"/>
      <c r="H3" s="404"/>
      <c r="I3" s="404"/>
      <c r="J3" s="404"/>
      <c r="K3" s="404"/>
      <c r="L3" s="414"/>
      <c r="M3" s="405" t="s">
        <v>220</v>
      </c>
      <c r="N3" s="406"/>
      <c r="O3" s="422">
        <f>O$1*'Bid Recap &amp; Summary'!D$40</f>
        <v>231079.13833824178</v>
      </c>
      <c r="P3" s="423"/>
      <c r="Q3" s="424"/>
    </row>
    <row r="4" spans="1:17" ht="39.950000000000003" customHeight="1" thickBot="1" x14ac:dyDescent="0.3">
      <c r="A4" s="485"/>
      <c r="B4" s="486"/>
      <c r="C4" s="486"/>
      <c r="D4" s="487"/>
      <c r="E4" s="136" t="s">
        <v>222</v>
      </c>
      <c r="F4" s="404" t="s">
        <v>223</v>
      </c>
      <c r="G4" s="404"/>
      <c r="H4" s="404"/>
      <c r="I4" s="404"/>
      <c r="J4" s="404"/>
      <c r="K4" s="404"/>
      <c r="L4" s="414"/>
      <c r="M4" s="410" t="s">
        <v>217</v>
      </c>
      <c r="N4" s="411"/>
      <c r="O4" s="422">
        <f>SUM('Bid Recap &amp; Summary'!E34+('Bid Recap &amp; Summary'!E$34*('Bid Recap &amp; Summary'!D39+'Bid Recap &amp; Summary'!D40))+'Bid Recap &amp; Summary'!E35+('Bid Recap &amp; Summary'!E$35*('Bid Recap &amp; Summary'!D39+'Bid Recap &amp; Summary'!D40))+'Bid Recap &amp; Summary'!E37+('Bid Recap &amp; Summary'!E$37*('Bid Recap &amp; Summary'!D39+'Bid Recap &amp; Summary'!D40)))+SUM('Bid Recap &amp; Summary'!E$42:E$54)</f>
        <v>0</v>
      </c>
      <c r="P4" s="423"/>
      <c r="Q4" s="424"/>
    </row>
    <row r="5" spans="1:17" ht="39.950000000000003" customHeight="1" thickBot="1" x14ac:dyDescent="0.3">
      <c r="A5" s="488"/>
      <c r="B5" s="489"/>
      <c r="C5" s="489"/>
      <c r="D5" s="490"/>
      <c r="E5" s="136" t="s">
        <v>181</v>
      </c>
      <c r="F5" s="412">
        <f ca="1">TODAY()</f>
        <v>45472</v>
      </c>
      <c r="G5" s="412"/>
      <c r="H5" s="412"/>
      <c r="I5" s="412"/>
      <c r="J5" s="412"/>
      <c r="K5" s="412"/>
      <c r="L5" s="413"/>
      <c r="M5" s="420" t="s">
        <v>235</v>
      </c>
      <c r="N5" s="421"/>
      <c r="O5" s="417">
        <f>SUM(O$1:Q$4)</f>
        <v>2772949.6600589012</v>
      </c>
      <c r="P5" s="418"/>
      <c r="Q5" s="419"/>
    </row>
    <row r="6" spans="1:17" ht="50.1" customHeight="1" thickBot="1" x14ac:dyDescent="0.3">
      <c r="A6" s="40" t="s">
        <v>0</v>
      </c>
      <c r="B6" s="40" t="s">
        <v>10</v>
      </c>
      <c r="C6" s="41" t="s">
        <v>11</v>
      </c>
      <c r="D6" s="42" t="s">
        <v>44</v>
      </c>
      <c r="E6" s="40" t="s">
        <v>1</v>
      </c>
      <c r="F6" s="43" t="s">
        <v>2</v>
      </c>
      <c r="G6" s="40" t="s">
        <v>3</v>
      </c>
      <c r="H6" s="40" t="s">
        <v>203</v>
      </c>
      <c r="I6" s="43" t="s">
        <v>201</v>
      </c>
      <c r="J6" s="44" t="s">
        <v>9</v>
      </c>
      <c r="K6" s="44" t="s">
        <v>4</v>
      </c>
      <c r="L6" s="44" t="s">
        <v>202</v>
      </c>
      <c r="M6" s="45" t="s">
        <v>6</v>
      </c>
      <c r="N6" s="45" t="s">
        <v>7</v>
      </c>
      <c r="O6" s="46" t="s">
        <v>5</v>
      </c>
      <c r="P6" s="47" t="s">
        <v>8</v>
      </c>
      <c r="Q6" s="48"/>
    </row>
    <row r="7" spans="1:17" ht="30" customHeight="1" thickBot="1" x14ac:dyDescent="0.3">
      <c r="A7" s="173"/>
      <c r="B7" s="177"/>
      <c r="C7" s="174"/>
      <c r="D7" s="174"/>
      <c r="E7" s="175" t="s">
        <v>248</v>
      </c>
      <c r="F7" s="176"/>
      <c r="G7" s="176"/>
      <c r="H7" s="177"/>
      <c r="I7" s="176"/>
      <c r="J7" s="177"/>
      <c r="K7" s="177"/>
      <c r="L7" s="172">
        <f>'Bid Recap &amp; Summary'!L$40</f>
        <v>73.03</v>
      </c>
      <c r="M7" s="177"/>
      <c r="N7" s="177"/>
      <c r="O7" s="177"/>
      <c r="P7" s="177"/>
      <c r="Q7" s="178"/>
    </row>
    <row r="8" spans="1:17" ht="20.100000000000001" customHeight="1" x14ac:dyDescent="0.25">
      <c r="A8" s="153"/>
      <c r="B8" s="31"/>
      <c r="C8" s="162" t="s">
        <v>192</v>
      </c>
      <c r="D8" s="165" t="s">
        <v>204</v>
      </c>
      <c r="E8" s="165" t="s">
        <v>205</v>
      </c>
      <c r="F8" s="78"/>
      <c r="G8" s="79"/>
      <c r="H8" s="31"/>
      <c r="I8" s="79"/>
      <c r="J8" s="31"/>
      <c r="K8" s="31"/>
      <c r="L8" s="31"/>
      <c r="M8" s="31"/>
      <c r="N8" s="31"/>
      <c r="O8" s="31"/>
      <c r="P8" s="31"/>
      <c r="Q8" s="155"/>
    </row>
    <row r="9" spans="1:17" ht="14.45" customHeight="1" x14ac:dyDescent="0.25">
      <c r="A9" s="122" t="str">
        <f>IF(TRIM(G9)&lt;&gt;"",COUNTA(G7:$G$9)&amp;"","")</f>
        <v/>
      </c>
      <c r="B9" s="123"/>
      <c r="C9" s="123"/>
      <c r="D9" s="50"/>
      <c r="E9" s="111"/>
      <c r="F9" s="124"/>
      <c r="G9" s="125"/>
      <c r="H9" s="33" t="str">
        <f>IF(F9=0,"",0)</f>
        <v/>
      </c>
      <c r="I9" s="82" t="str">
        <f t="shared" ref="I9" si="0">IF(F9=0,"",F9+(F9*H9))</f>
        <v/>
      </c>
      <c r="J9" s="34" t="str">
        <f>IF(F9=0,"",0)</f>
        <v/>
      </c>
      <c r="K9" s="35" t="str">
        <f>IF(F9=0,"",J9*I9)</f>
        <v/>
      </c>
      <c r="L9" s="36" t="str">
        <f>IF(F9=0,"",L$7)</f>
        <v/>
      </c>
      <c r="M9" s="37" t="str">
        <f>IF(F9=0,"",0)</f>
        <v/>
      </c>
      <c r="N9" s="37" t="str">
        <f>IF(F9=0,"",M9*I9)</f>
        <v/>
      </c>
      <c r="O9" s="35" t="str">
        <f>IF(F9=0,"",N9*L9)</f>
        <v/>
      </c>
      <c r="P9" s="38" t="str">
        <f>IF(F9=0,"",K9+O9)</f>
        <v/>
      </c>
      <c r="Q9" s="39"/>
    </row>
    <row r="10" spans="1:17" x14ac:dyDescent="0.25">
      <c r="A10" s="122" t="str">
        <f>IF(TRIM(G10)&lt;&gt;"",COUNTA(G$10:$G10)&amp;"","")</f>
        <v/>
      </c>
      <c r="B10" s="123"/>
      <c r="C10" s="123"/>
      <c r="D10" s="50"/>
      <c r="E10" s="89"/>
      <c r="F10" s="124"/>
      <c r="G10" s="125"/>
      <c r="H10" s="33" t="str">
        <f t="shared" ref="H10:H12" si="1">IF(F10=0,"",0)</f>
        <v/>
      </c>
      <c r="I10" s="82" t="str">
        <f t="shared" ref="I10:I12" si="2">IF(F10=0,"",F10+(F10*H10))</f>
        <v/>
      </c>
      <c r="J10" s="34" t="str">
        <f t="shared" ref="J10:J12" si="3">IF(F10=0,"",0)</f>
        <v/>
      </c>
      <c r="K10" s="35" t="str">
        <f t="shared" ref="K10:K12" si="4">IF(F10=0,"",J10*I10)</f>
        <v/>
      </c>
      <c r="L10" s="36" t="str">
        <f t="shared" ref="L10:L12" si="5">IF(F10=0,"",L$7)</f>
        <v/>
      </c>
      <c r="M10" s="37" t="str">
        <f t="shared" ref="M10:M12" si="6">IF(F10=0,"",0)</f>
        <v/>
      </c>
      <c r="N10" s="37" t="str">
        <f t="shared" ref="N10:N12" si="7">IF(F10=0,"",M10*I10)</f>
        <v/>
      </c>
      <c r="O10" s="35" t="str">
        <f t="shared" ref="O10:O12" si="8">IF(F10=0,"",N10*L10)</f>
        <v/>
      </c>
      <c r="P10" s="38" t="str">
        <f t="shared" ref="P10:P12" si="9">IF(F10=0,"",K10+O10)</f>
        <v/>
      </c>
      <c r="Q10" s="39"/>
    </row>
    <row r="11" spans="1:17" x14ac:dyDescent="0.25">
      <c r="A11" s="122" t="str">
        <f>IF(TRIM(G11)&lt;&gt;"",COUNTA(G$10:$G11)&amp;"","")</f>
        <v/>
      </c>
      <c r="B11" s="123"/>
      <c r="C11" s="123"/>
      <c r="D11" s="50"/>
      <c r="E11" s="89"/>
      <c r="F11" s="124"/>
      <c r="G11" s="125"/>
      <c r="H11" s="33" t="str">
        <f t="shared" si="1"/>
        <v/>
      </c>
      <c r="I11" s="82" t="str">
        <f t="shared" si="2"/>
        <v/>
      </c>
      <c r="J11" s="34" t="str">
        <f t="shared" si="3"/>
        <v/>
      </c>
      <c r="K11" s="35" t="str">
        <f t="shared" si="4"/>
        <v/>
      </c>
      <c r="L11" s="36" t="str">
        <f t="shared" si="5"/>
        <v/>
      </c>
      <c r="M11" s="37" t="str">
        <f t="shared" si="6"/>
        <v/>
      </c>
      <c r="N11" s="37" t="str">
        <f t="shared" si="7"/>
        <v/>
      </c>
      <c r="O11" s="35" t="str">
        <f t="shared" si="8"/>
        <v/>
      </c>
      <c r="P11" s="38" t="str">
        <f t="shared" si="9"/>
        <v/>
      </c>
      <c r="Q11" s="39"/>
    </row>
    <row r="12" spans="1:17" ht="15.75" thickBot="1" x14ac:dyDescent="0.3">
      <c r="A12" s="122" t="str">
        <f>IF(TRIM(G12)&lt;&gt;"",COUNTA(G$10:$G12)&amp;"","")</f>
        <v/>
      </c>
      <c r="B12" s="126"/>
      <c r="C12" s="126"/>
      <c r="D12" s="50"/>
      <c r="E12" s="127"/>
      <c r="F12" s="124"/>
      <c r="G12" s="125"/>
      <c r="H12" s="33" t="str">
        <f t="shared" si="1"/>
        <v/>
      </c>
      <c r="I12" s="82" t="str">
        <f t="shared" si="2"/>
        <v/>
      </c>
      <c r="J12" s="34" t="str">
        <f t="shared" si="3"/>
        <v/>
      </c>
      <c r="K12" s="35" t="str">
        <f t="shared" si="4"/>
        <v/>
      </c>
      <c r="L12" s="36" t="str">
        <f t="shared" si="5"/>
        <v/>
      </c>
      <c r="M12" s="37" t="str">
        <f t="shared" si="6"/>
        <v/>
      </c>
      <c r="N12" s="37" t="str">
        <f t="shared" si="7"/>
        <v/>
      </c>
      <c r="O12" s="35" t="str">
        <f t="shared" si="8"/>
        <v/>
      </c>
      <c r="P12" s="38" t="str">
        <f t="shared" si="9"/>
        <v/>
      </c>
      <c r="Q12" s="39"/>
    </row>
    <row r="13" spans="1:17" s="3" customFormat="1" ht="16.5" thickBot="1" x14ac:dyDescent="0.3">
      <c r="A13" s="179" t="str">
        <f>IF(TRIM(G13)&lt;&gt;"",COUNTA(G$10:$G13)&amp;"","")</f>
        <v/>
      </c>
      <c r="B13" s="1"/>
      <c r="C13" s="1"/>
      <c r="D13" s="30"/>
      <c r="E13" s="29"/>
      <c r="F13" s="180"/>
      <c r="G13" s="181"/>
      <c r="H13" s="182" t="s">
        <v>12</v>
      </c>
      <c r="I13" s="183"/>
      <c r="J13" s="184">
        <f>SUM(K$9:K$12)</f>
        <v>0</v>
      </c>
      <c r="K13" s="415" t="s">
        <v>13</v>
      </c>
      <c r="L13" s="416"/>
      <c r="M13" s="185">
        <f>SUM(O$9:O$12)</f>
        <v>0</v>
      </c>
      <c r="N13" s="415" t="s">
        <v>43</v>
      </c>
      <c r="O13" s="416"/>
      <c r="P13" s="186">
        <f>SUM(N$9:N$12)</f>
        <v>0</v>
      </c>
      <c r="Q13" s="187">
        <f>SUM(P$9:P$12)</f>
        <v>0</v>
      </c>
    </row>
    <row r="14" spans="1:17" ht="30" customHeight="1" thickBot="1" x14ac:dyDescent="0.3">
      <c r="A14" s="173"/>
      <c r="B14" s="177"/>
      <c r="C14" s="174"/>
      <c r="D14" s="174"/>
      <c r="E14" s="175" t="s">
        <v>247</v>
      </c>
      <c r="F14" s="176"/>
      <c r="G14" s="176"/>
      <c r="H14" s="177"/>
      <c r="I14" s="176"/>
      <c r="J14" s="177"/>
      <c r="K14" s="177"/>
      <c r="L14" s="172">
        <f>'Bid Recap &amp; Summary'!L$40</f>
        <v>73.03</v>
      </c>
      <c r="M14" s="177"/>
      <c r="N14" s="177"/>
      <c r="O14" s="177"/>
      <c r="P14" s="177"/>
      <c r="Q14" s="178"/>
    </row>
    <row r="15" spans="1:17" ht="20.100000000000001" customHeight="1" x14ac:dyDescent="0.25">
      <c r="A15" s="153" t="str">
        <f>IF(TRIM(G15)&lt;&gt;"",COUNTA(G$10:$G15)&amp;"","")</f>
        <v/>
      </c>
      <c r="B15" s="31"/>
      <c r="C15" s="162" t="s">
        <v>192</v>
      </c>
      <c r="D15" s="165" t="s">
        <v>56</v>
      </c>
      <c r="E15" s="165" t="s">
        <v>215</v>
      </c>
      <c r="F15" s="78"/>
      <c r="G15" s="79"/>
      <c r="H15" s="31"/>
      <c r="I15" s="79"/>
      <c r="J15" s="31"/>
      <c r="K15" s="31"/>
      <c r="L15" s="31"/>
      <c r="M15" s="31"/>
      <c r="N15" s="31"/>
      <c r="O15" s="31"/>
      <c r="P15" s="31"/>
      <c r="Q15" s="155"/>
    </row>
    <row r="16" spans="1:17" s="28" customFormat="1" ht="19.149999999999999" customHeight="1" x14ac:dyDescent="0.25">
      <c r="A16" s="122" t="str">
        <f>IF(TRIM(G16)&lt;&gt;"",COUNTA(G$9:$G16)&amp;"","")</f>
        <v/>
      </c>
      <c r="B16" s="49"/>
      <c r="C16" s="49"/>
      <c r="D16" s="50" t="s">
        <v>70</v>
      </c>
      <c r="E16" s="156" t="s">
        <v>69</v>
      </c>
      <c r="F16" s="124"/>
      <c r="G16" s="125"/>
      <c r="H16" s="33" t="str">
        <f t="shared" ref="H16:H27" si="10">IF(F16=0,"",0)</f>
        <v/>
      </c>
      <c r="I16" s="82" t="str">
        <f t="shared" ref="I16:I27" si="11">IF(F16=0,"",F16+(F16*H16))</f>
        <v/>
      </c>
      <c r="J16" s="34" t="str">
        <f t="shared" ref="J16:J27" si="12">IF(F16=0,"",0)</f>
        <v/>
      </c>
      <c r="K16" s="35" t="str">
        <f t="shared" ref="K16:K27" si="13">IF(F16=0,"",J16*I16)</f>
        <v/>
      </c>
      <c r="L16" s="36" t="str">
        <f t="shared" ref="L16:L27" si="14">IF(F16=0,"",L$14)</f>
        <v/>
      </c>
      <c r="M16" s="37" t="str">
        <f t="shared" ref="M16" si="15">IF(F16=0,"",0)</f>
        <v/>
      </c>
      <c r="N16" s="37" t="str">
        <f t="shared" ref="N16:N27" si="16">IF(F16=0,"",M16*I16)</f>
        <v/>
      </c>
      <c r="O16" s="35" t="str">
        <f t="shared" ref="O16:O27" si="17">IF(F16=0,"",N16*L16)</f>
        <v/>
      </c>
      <c r="P16" s="38" t="str">
        <f t="shared" ref="P16:P27" si="18">IF(F16=0,"",K16+O16)</f>
        <v/>
      </c>
      <c r="Q16" s="39"/>
    </row>
    <row r="17" spans="1:17" x14ac:dyDescent="0.25">
      <c r="A17" s="122" t="str">
        <f>IF(TRIM(G17)&lt;&gt;"",COUNTA(G$9:$G17)&amp;"","")</f>
        <v>1</v>
      </c>
      <c r="B17" s="123" t="s">
        <v>274</v>
      </c>
      <c r="C17" s="123" t="s">
        <v>274</v>
      </c>
      <c r="D17" s="50"/>
      <c r="E17" s="89" t="s">
        <v>259</v>
      </c>
      <c r="F17" s="124">
        <v>3260.36</v>
      </c>
      <c r="G17" s="125" t="s">
        <v>214</v>
      </c>
      <c r="H17" s="33">
        <f t="shared" ref="H17:H19" si="19">IF(F17=0,"",0)</f>
        <v>0</v>
      </c>
      <c r="I17" s="82">
        <f t="shared" ref="I17:I19" si="20">IF(F17=0,"",F17+(F17*H17))</f>
        <v>3260.36</v>
      </c>
      <c r="J17" s="34">
        <f t="shared" ref="J17:J19" si="21">IF(F17=0,"",0)</f>
        <v>0</v>
      </c>
      <c r="K17" s="35">
        <f t="shared" ref="K17:K19" si="22">IF(F17=0,"",J17*I17)</f>
        <v>0</v>
      </c>
      <c r="L17" s="36">
        <f t="shared" ref="L17:L19" si="23">IF(F17=0,"",L$14)</f>
        <v>73.03</v>
      </c>
      <c r="M17" s="37">
        <v>0.08</v>
      </c>
      <c r="N17" s="37">
        <f t="shared" ref="N17:N19" si="24">IF(F17=0,"",M17*I17)</f>
        <v>260.8288</v>
      </c>
      <c r="O17" s="35">
        <f t="shared" ref="O17:O19" si="25">IF(F17=0,"",N17*L17)</f>
        <v>19048.327264</v>
      </c>
      <c r="P17" s="38">
        <f t="shared" ref="P17:P19" si="26">IF(F17=0,"",K17+O17)</f>
        <v>19048.327264</v>
      </c>
      <c r="Q17" s="39"/>
    </row>
    <row r="18" spans="1:17" x14ac:dyDescent="0.25">
      <c r="A18" s="122" t="str">
        <f>IF(TRIM(G18)&lt;&gt;"",COUNTA(G$9:$G18)&amp;"","")</f>
        <v>2</v>
      </c>
      <c r="B18" s="123" t="s">
        <v>274</v>
      </c>
      <c r="C18" s="123" t="s">
        <v>274</v>
      </c>
      <c r="D18" s="50"/>
      <c r="E18" s="89" t="s">
        <v>260</v>
      </c>
      <c r="F18" s="124">
        <v>362.26</v>
      </c>
      <c r="G18" s="125" t="s">
        <v>214</v>
      </c>
      <c r="H18" s="33">
        <f t="shared" si="19"/>
        <v>0</v>
      </c>
      <c r="I18" s="82">
        <f t="shared" si="20"/>
        <v>362.26</v>
      </c>
      <c r="J18" s="34">
        <f t="shared" si="21"/>
        <v>0</v>
      </c>
      <c r="K18" s="35">
        <f t="shared" si="22"/>
        <v>0</v>
      </c>
      <c r="L18" s="36">
        <f t="shared" si="23"/>
        <v>73.03</v>
      </c>
      <c r="M18" s="37">
        <v>0.04</v>
      </c>
      <c r="N18" s="37">
        <f t="shared" si="24"/>
        <v>14.490399999999999</v>
      </c>
      <c r="O18" s="35">
        <f t="shared" si="25"/>
        <v>1058.2339119999999</v>
      </c>
      <c r="P18" s="38">
        <f t="shared" si="26"/>
        <v>1058.2339119999999</v>
      </c>
      <c r="Q18" s="39"/>
    </row>
    <row r="19" spans="1:17" x14ac:dyDescent="0.25">
      <c r="A19" s="122" t="str">
        <f>IF(TRIM(G19)&lt;&gt;"",COUNTA(G$9:$G19)&amp;"","")</f>
        <v>3</v>
      </c>
      <c r="B19" s="123" t="s">
        <v>274</v>
      </c>
      <c r="C19" s="123" t="s">
        <v>274</v>
      </c>
      <c r="D19" s="50"/>
      <c r="E19" s="89" t="s">
        <v>261</v>
      </c>
      <c r="F19" s="124">
        <v>3379.27</v>
      </c>
      <c r="G19" s="125" t="s">
        <v>214</v>
      </c>
      <c r="H19" s="33">
        <f t="shared" si="19"/>
        <v>0</v>
      </c>
      <c r="I19" s="82">
        <f t="shared" si="20"/>
        <v>3379.27</v>
      </c>
      <c r="J19" s="34">
        <f t="shared" si="21"/>
        <v>0</v>
      </c>
      <c r="K19" s="35">
        <f t="shared" si="22"/>
        <v>0</v>
      </c>
      <c r="L19" s="36">
        <f t="shared" si="23"/>
        <v>73.03</v>
      </c>
      <c r="M19" s="37">
        <v>0.03</v>
      </c>
      <c r="N19" s="37">
        <f t="shared" si="24"/>
        <v>101.37809999999999</v>
      </c>
      <c r="O19" s="35">
        <f t="shared" si="25"/>
        <v>7403.6426429999992</v>
      </c>
      <c r="P19" s="38">
        <f t="shared" si="26"/>
        <v>7403.6426429999992</v>
      </c>
      <c r="Q19" s="39"/>
    </row>
    <row r="20" spans="1:17" x14ac:dyDescent="0.25">
      <c r="A20" s="122" t="str">
        <f>IF(TRIM(G20)&lt;&gt;"",COUNTA(G$9:$G20)&amp;"","")</f>
        <v>4</v>
      </c>
      <c r="B20" s="123" t="s">
        <v>274</v>
      </c>
      <c r="C20" s="123" t="s">
        <v>274</v>
      </c>
      <c r="D20" s="50"/>
      <c r="E20" s="89" t="s">
        <v>262</v>
      </c>
      <c r="F20" s="124">
        <v>611.97</v>
      </c>
      <c r="G20" s="125" t="s">
        <v>214</v>
      </c>
      <c r="H20" s="33">
        <f t="shared" si="10"/>
        <v>0</v>
      </c>
      <c r="I20" s="82">
        <f t="shared" si="11"/>
        <v>611.97</v>
      </c>
      <c r="J20" s="34">
        <f t="shared" si="12"/>
        <v>0</v>
      </c>
      <c r="K20" s="35">
        <f t="shared" si="13"/>
        <v>0</v>
      </c>
      <c r="L20" s="36">
        <f t="shared" si="14"/>
        <v>73.03</v>
      </c>
      <c r="M20" s="37">
        <v>0.03</v>
      </c>
      <c r="N20" s="37">
        <f t="shared" si="16"/>
        <v>18.359100000000002</v>
      </c>
      <c r="O20" s="35">
        <f t="shared" si="17"/>
        <v>1340.765073</v>
      </c>
      <c r="P20" s="38">
        <f t="shared" si="18"/>
        <v>1340.765073</v>
      </c>
      <c r="Q20" s="39"/>
    </row>
    <row r="21" spans="1:17" x14ac:dyDescent="0.25">
      <c r="A21" s="122" t="str">
        <f>IF(TRIM(G21)&lt;&gt;"",COUNTA(G$9:$G21)&amp;"","")</f>
        <v>5</v>
      </c>
      <c r="B21" s="123" t="s">
        <v>274</v>
      </c>
      <c r="C21" s="123" t="s">
        <v>274</v>
      </c>
      <c r="D21" s="50"/>
      <c r="E21" s="89" t="s">
        <v>263</v>
      </c>
      <c r="F21" s="124">
        <v>383.26</v>
      </c>
      <c r="G21" s="125" t="s">
        <v>228</v>
      </c>
      <c r="H21" s="33">
        <f t="shared" si="10"/>
        <v>0</v>
      </c>
      <c r="I21" s="82">
        <f t="shared" si="11"/>
        <v>383.26</v>
      </c>
      <c r="J21" s="34">
        <f t="shared" si="12"/>
        <v>0</v>
      </c>
      <c r="K21" s="35">
        <f t="shared" si="13"/>
        <v>0</v>
      </c>
      <c r="L21" s="36">
        <f t="shared" si="14"/>
        <v>73.03</v>
      </c>
      <c r="M21" s="37">
        <v>0.2</v>
      </c>
      <c r="N21" s="37">
        <f t="shared" si="16"/>
        <v>76.652000000000001</v>
      </c>
      <c r="O21" s="35">
        <f t="shared" si="17"/>
        <v>5597.8955599999999</v>
      </c>
      <c r="P21" s="38">
        <f t="shared" si="18"/>
        <v>5597.8955599999999</v>
      </c>
      <c r="Q21" s="39"/>
    </row>
    <row r="22" spans="1:17" x14ac:dyDescent="0.25">
      <c r="A22" s="122" t="str">
        <f>IF(TRIM(G22)&lt;&gt;"",COUNTA(G$9:$G22)&amp;"","")</f>
        <v>6</v>
      </c>
      <c r="B22" s="123" t="s">
        <v>274</v>
      </c>
      <c r="C22" s="123" t="s">
        <v>274</v>
      </c>
      <c r="D22" s="50"/>
      <c r="E22" s="89" t="s">
        <v>264</v>
      </c>
      <c r="F22" s="124">
        <v>387.16</v>
      </c>
      <c r="G22" s="125" t="s">
        <v>228</v>
      </c>
      <c r="H22" s="33">
        <f t="shared" si="10"/>
        <v>0</v>
      </c>
      <c r="I22" s="82">
        <f t="shared" si="11"/>
        <v>387.16</v>
      </c>
      <c r="J22" s="34">
        <f t="shared" si="12"/>
        <v>0</v>
      </c>
      <c r="K22" s="35">
        <f t="shared" si="13"/>
        <v>0</v>
      </c>
      <c r="L22" s="36">
        <f t="shared" si="14"/>
        <v>73.03</v>
      </c>
      <c r="M22" s="37">
        <v>0.2</v>
      </c>
      <c r="N22" s="37">
        <f t="shared" si="16"/>
        <v>77.432000000000016</v>
      </c>
      <c r="O22" s="35">
        <f t="shared" si="17"/>
        <v>5654.8589600000014</v>
      </c>
      <c r="P22" s="38">
        <f t="shared" si="18"/>
        <v>5654.8589600000014</v>
      </c>
      <c r="Q22" s="39"/>
    </row>
    <row r="23" spans="1:17" x14ac:dyDescent="0.25">
      <c r="A23" s="122" t="str">
        <f>IF(TRIM(G23)&lt;&gt;"",COUNTA(G$9:$G23)&amp;"","")</f>
        <v>7</v>
      </c>
      <c r="B23" s="123" t="s">
        <v>274</v>
      </c>
      <c r="C23" s="123" t="s">
        <v>274</v>
      </c>
      <c r="D23" s="50"/>
      <c r="E23" s="89" t="s">
        <v>265</v>
      </c>
      <c r="F23" s="124">
        <v>3</v>
      </c>
      <c r="G23" s="125" t="s">
        <v>250</v>
      </c>
      <c r="H23" s="33">
        <f t="shared" ref="H23:H25" si="27">IF(F23=0,"",0)</f>
        <v>0</v>
      </c>
      <c r="I23" s="82">
        <f t="shared" ref="I23:I25" si="28">IF(F23=0,"",F23+(F23*H23))</f>
        <v>3</v>
      </c>
      <c r="J23" s="34">
        <f t="shared" ref="J23:J25" si="29">IF(F23=0,"",0)</f>
        <v>0</v>
      </c>
      <c r="K23" s="35">
        <f t="shared" ref="K23:K25" si="30">IF(F23=0,"",J23*I23)</f>
        <v>0</v>
      </c>
      <c r="L23" s="36">
        <f t="shared" ref="L23:L25" si="31">IF(F23=0,"",L$14)</f>
        <v>73.03</v>
      </c>
      <c r="M23" s="37">
        <v>2</v>
      </c>
      <c r="N23" s="37">
        <f t="shared" ref="N23:N25" si="32">IF(F23=0,"",M23*I23)</f>
        <v>6</v>
      </c>
      <c r="O23" s="35">
        <f t="shared" ref="O23:O25" si="33">IF(F23=0,"",N23*L23)</f>
        <v>438.18</v>
      </c>
      <c r="P23" s="38">
        <f t="shared" ref="P23:P25" si="34">IF(F23=0,"",K23+O23)</f>
        <v>438.18</v>
      </c>
      <c r="Q23" s="39"/>
    </row>
    <row r="24" spans="1:17" x14ac:dyDescent="0.25">
      <c r="A24" s="122" t="str">
        <f>IF(TRIM(G24)&lt;&gt;"",COUNTA(G$9:$G24)&amp;"","")</f>
        <v>8</v>
      </c>
      <c r="B24" s="123" t="s">
        <v>274</v>
      </c>
      <c r="C24" s="123" t="s">
        <v>274</v>
      </c>
      <c r="D24" s="50"/>
      <c r="E24" s="89" t="s">
        <v>266</v>
      </c>
      <c r="F24" s="124">
        <v>1</v>
      </c>
      <c r="G24" s="125" t="s">
        <v>250</v>
      </c>
      <c r="H24" s="33">
        <f t="shared" si="27"/>
        <v>0</v>
      </c>
      <c r="I24" s="82">
        <f t="shared" si="28"/>
        <v>1</v>
      </c>
      <c r="J24" s="34">
        <f t="shared" si="29"/>
        <v>0</v>
      </c>
      <c r="K24" s="35">
        <f t="shared" si="30"/>
        <v>0</v>
      </c>
      <c r="L24" s="36">
        <f t="shared" si="31"/>
        <v>73.03</v>
      </c>
      <c r="M24" s="37">
        <v>1</v>
      </c>
      <c r="N24" s="37">
        <f t="shared" si="32"/>
        <v>1</v>
      </c>
      <c r="O24" s="35">
        <f t="shared" si="33"/>
        <v>73.03</v>
      </c>
      <c r="P24" s="38">
        <f t="shared" si="34"/>
        <v>73.03</v>
      </c>
      <c r="Q24" s="39"/>
    </row>
    <row r="25" spans="1:17" x14ac:dyDescent="0.25">
      <c r="A25" s="122" t="str">
        <f>IF(TRIM(G25)&lt;&gt;"",COUNTA(G$9:$G25)&amp;"","")</f>
        <v>9</v>
      </c>
      <c r="B25" s="123" t="s">
        <v>274</v>
      </c>
      <c r="C25" s="123" t="s">
        <v>274</v>
      </c>
      <c r="D25" s="50"/>
      <c r="E25" s="89" t="s">
        <v>267</v>
      </c>
      <c r="F25" s="124">
        <v>1</v>
      </c>
      <c r="G25" s="125" t="s">
        <v>250</v>
      </c>
      <c r="H25" s="33">
        <f t="shared" si="27"/>
        <v>0</v>
      </c>
      <c r="I25" s="82">
        <f t="shared" si="28"/>
        <v>1</v>
      </c>
      <c r="J25" s="34">
        <f t="shared" si="29"/>
        <v>0</v>
      </c>
      <c r="K25" s="35">
        <f t="shared" si="30"/>
        <v>0</v>
      </c>
      <c r="L25" s="36">
        <f t="shared" si="31"/>
        <v>73.03</v>
      </c>
      <c r="M25" s="37">
        <v>1</v>
      </c>
      <c r="N25" s="37">
        <f t="shared" si="32"/>
        <v>1</v>
      </c>
      <c r="O25" s="35">
        <f t="shared" si="33"/>
        <v>73.03</v>
      </c>
      <c r="P25" s="38">
        <f t="shared" si="34"/>
        <v>73.03</v>
      </c>
      <c r="Q25" s="39"/>
    </row>
    <row r="26" spans="1:17" x14ac:dyDescent="0.25">
      <c r="A26" s="122" t="str">
        <f>IF(TRIM(G26)&lt;&gt;"",COUNTA(G$9:$G26)&amp;"","")</f>
        <v>10</v>
      </c>
      <c r="B26" s="123" t="s">
        <v>274</v>
      </c>
      <c r="C26" s="123" t="s">
        <v>274</v>
      </c>
      <c r="D26" s="50"/>
      <c r="E26" s="89" t="s">
        <v>268</v>
      </c>
      <c r="F26" s="124">
        <v>54</v>
      </c>
      <c r="G26" s="125" t="s">
        <v>250</v>
      </c>
      <c r="H26" s="33">
        <f t="shared" si="10"/>
        <v>0</v>
      </c>
      <c r="I26" s="82">
        <f t="shared" si="11"/>
        <v>54</v>
      </c>
      <c r="J26" s="34">
        <f t="shared" si="12"/>
        <v>0</v>
      </c>
      <c r="K26" s="35">
        <f t="shared" si="13"/>
        <v>0</v>
      </c>
      <c r="L26" s="36">
        <f t="shared" si="14"/>
        <v>73.03</v>
      </c>
      <c r="M26" s="37">
        <v>2</v>
      </c>
      <c r="N26" s="37">
        <f t="shared" si="16"/>
        <v>108</v>
      </c>
      <c r="O26" s="35">
        <f t="shared" si="17"/>
        <v>7887.24</v>
      </c>
      <c r="P26" s="38">
        <f t="shared" si="18"/>
        <v>7887.24</v>
      </c>
      <c r="Q26" s="39"/>
    </row>
    <row r="27" spans="1:17" x14ac:dyDescent="0.25">
      <c r="A27" s="122" t="str">
        <f>IF(TRIM(G27)&lt;&gt;"",COUNTA(G$9:$G27)&amp;"","")</f>
        <v>11</v>
      </c>
      <c r="B27" s="123" t="s">
        <v>274</v>
      </c>
      <c r="C27" s="123" t="s">
        <v>274</v>
      </c>
      <c r="D27" s="50"/>
      <c r="E27" s="89" t="s">
        <v>269</v>
      </c>
      <c r="F27" s="124">
        <v>3</v>
      </c>
      <c r="G27" s="125" t="s">
        <v>250</v>
      </c>
      <c r="H27" s="33">
        <f t="shared" si="10"/>
        <v>0</v>
      </c>
      <c r="I27" s="82">
        <f t="shared" si="11"/>
        <v>3</v>
      </c>
      <c r="J27" s="34">
        <f t="shared" si="12"/>
        <v>0</v>
      </c>
      <c r="K27" s="35">
        <f t="shared" si="13"/>
        <v>0</v>
      </c>
      <c r="L27" s="36">
        <f t="shared" si="14"/>
        <v>73.03</v>
      </c>
      <c r="M27" s="37">
        <v>1</v>
      </c>
      <c r="N27" s="37">
        <f t="shared" si="16"/>
        <v>3</v>
      </c>
      <c r="O27" s="35">
        <f t="shared" si="17"/>
        <v>219.09</v>
      </c>
      <c r="P27" s="38">
        <f t="shared" si="18"/>
        <v>219.09</v>
      </c>
      <c r="Q27" s="39"/>
    </row>
    <row r="28" spans="1:17" ht="15.75" thickBot="1" x14ac:dyDescent="0.3">
      <c r="A28" s="122" t="str">
        <f>IF(TRIM(G28)&lt;&gt;"",COUNTA(G$9:$G28)&amp;"","")</f>
        <v/>
      </c>
      <c r="B28" s="126"/>
      <c r="C28" s="126"/>
      <c r="D28" s="50"/>
      <c r="E28" s="127"/>
      <c r="F28" s="124"/>
      <c r="G28" s="125"/>
      <c r="H28" s="33" t="str">
        <f t="shared" ref="H28" si="35">IF(F28=0,"",0)</f>
        <v/>
      </c>
      <c r="I28" s="82" t="str">
        <f t="shared" ref="I28" si="36">IF(F28=0,"",F28+(F28*H28))</f>
        <v/>
      </c>
      <c r="J28" s="34" t="str">
        <f t="shared" ref="J28" si="37">IF(F28=0,"",0)</f>
        <v/>
      </c>
      <c r="K28" s="35" t="str">
        <f t="shared" ref="K28" si="38">IF(F28=0,"",J28*I28)</f>
        <v/>
      </c>
      <c r="L28" s="36" t="str">
        <f t="shared" ref="L28" si="39">IF(F28=0,"",L$14)</f>
        <v/>
      </c>
      <c r="M28" s="37" t="str">
        <f t="shared" ref="M28" si="40">IF(F28=0,"",0)</f>
        <v/>
      </c>
      <c r="N28" s="37" t="str">
        <f t="shared" ref="N28" si="41">IF(F28=0,"",M28*I28)</f>
        <v/>
      </c>
      <c r="O28" s="35" t="str">
        <f t="shared" ref="O28" si="42">IF(F28=0,"",N28*L28)</f>
        <v/>
      </c>
      <c r="P28" s="38" t="str">
        <f t="shared" ref="P28" si="43">IF(F28=0,"",K28+O28)</f>
        <v/>
      </c>
      <c r="Q28" s="39"/>
    </row>
    <row r="29" spans="1:17" s="3" customFormat="1" ht="16.5" thickBot="1" x14ac:dyDescent="0.3">
      <c r="A29" s="122" t="str">
        <f>IF(TRIM(G29)&lt;&gt;"",COUNTA(G$9:$G29)&amp;"","")</f>
        <v/>
      </c>
      <c r="B29" s="1"/>
      <c r="C29" s="1"/>
      <c r="D29" s="30"/>
      <c r="E29" s="29"/>
      <c r="F29" s="80"/>
      <c r="G29" s="81"/>
      <c r="H29" s="151" t="s">
        <v>12</v>
      </c>
      <c r="I29" s="152"/>
      <c r="J29" s="68">
        <f>SUM(K$16:K$28)</f>
        <v>0</v>
      </c>
      <c r="K29" s="390" t="s">
        <v>13</v>
      </c>
      <c r="L29" s="391"/>
      <c r="M29" s="69">
        <f>SUM(O$16:O$28)</f>
        <v>48794.293411999985</v>
      </c>
      <c r="N29" s="390" t="s">
        <v>43</v>
      </c>
      <c r="O29" s="391"/>
      <c r="P29" s="70">
        <f>SUM(N$16:N$28)</f>
        <v>668.1404</v>
      </c>
      <c r="Q29" s="71">
        <f>SUM(P$16:P$28)</f>
        <v>48794.293411999985</v>
      </c>
    </row>
    <row r="30" spans="1:17" ht="20.100000000000001" customHeight="1" x14ac:dyDescent="0.25">
      <c r="A30" s="153" t="str">
        <f>IF(TRIM(G30)&lt;&gt;"",COUNTA(G$9:$G30)&amp;"","")</f>
        <v/>
      </c>
      <c r="B30" s="31"/>
      <c r="C30" s="162" t="s">
        <v>192</v>
      </c>
      <c r="D30" s="154" t="s">
        <v>57</v>
      </c>
      <c r="E30" s="154" t="s">
        <v>58</v>
      </c>
      <c r="F30" s="78"/>
      <c r="G30" s="79"/>
      <c r="H30" s="31"/>
      <c r="I30" s="79"/>
      <c r="J30" s="31"/>
      <c r="K30" s="31"/>
      <c r="L30" s="31"/>
      <c r="M30" s="31"/>
      <c r="N30" s="31"/>
      <c r="O30" s="31"/>
      <c r="P30" s="31"/>
      <c r="Q30" s="155"/>
    </row>
    <row r="31" spans="1:17" s="28" customFormat="1" ht="19.149999999999999" customHeight="1" x14ac:dyDescent="0.25">
      <c r="A31" s="122" t="str">
        <f>IF(TRIM(G31)&lt;&gt;"",COUNTA(G$9:$G31)&amp;"","")</f>
        <v/>
      </c>
      <c r="B31" s="49"/>
      <c r="C31" s="49"/>
      <c r="D31" s="50" t="s">
        <v>72</v>
      </c>
      <c r="E31" s="51" t="s">
        <v>71</v>
      </c>
      <c r="F31" s="124"/>
      <c r="G31" s="125"/>
      <c r="H31" s="33" t="str">
        <f t="shared" ref="H31:H75" si="44">IF(F31=0,"",0)</f>
        <v/>
      </c>
      <c r="I31" s="82" t="str">
        <f t="shared" ref="I31:I75" si="45">IF(F31=0,"",F31+(F31*H31))</f>
        <v/>
      </c>
      <c r="J31" s="34" t="str">
        <f t="shared" ref="J31:J75" si="46">IF(F31=0,"",0)</f>
        <v/>
      </c>
      <c r="K31" s="35" t="str">
        <f t="shared" ref="K31:K75" si="47">IF(F31=0,"",J31*I31)</f>
        <v/>
      </c>
      <c r="L31" s="36" t="str">
        <f t="shared" ref="L31:L75" si="48">IF(F31=0,"",L$14)</f>
        <v/>
      </c>
      <c r="M31" s="37" t="str">
        <f t="shared" ref="M31:M75" si="49">IF(F31=0,"",0)</f>
        <v/>
      </c>
      <c r="N31" s="37" t="str">
        <f t="shared" ref="N31:N75" si="50">IF(F31=0,"",M31*I31)</f>
        <v/>
      </c>
      <c r="O31" s="35" t="str">
        <f t="shared" ref="O31:O75" si="51">IF(F31=0,"",N31*L31)</f>
        <v/>
      </c>
      <c r="P31" s="38" t="str">
        <f t="shared" ref="P31:P75" si="52">IF(F31=0,"",K31+O31)</f>
        <v/>
      </c>
      <c r="Q31" s="39"/>
    </row>
    <row r="32" spans="1:17" x14ac:dyDescent="0.25">
      <c r="A32" s="122" t="str">
        <f>IF(TRIM(G32)&lt;&gt;"",COUNTA(G$9:$G32)&amp;"","")</f>
        <v>12</v>
      </c>
      <c r="B32" s="123" t="s">
        <v>469</v>
      </c>
      <c r="C32" s="123" t="s">
        <v>470</v>
      </c>
      <c r="D32" s="50"/>
      <c r="E32" s="89" t="s">
        <v>375</v>
      </c>
      <c r="F32" s="124">
        <f>9*2.5*2.5*1/27</f>
        <v>2.0833333333333335</v>
      </c>
      <c r="G32" s="106" t="s">
        <v>232</v>
      </c>
      <c r="H32" s="33">
        <v>0.1</v>
      </c>
      <c r="I32" s="82">
        <f t="shared" si="45"/>
        <v>2.291666666666667</v>
      </c>
      <c r="J32" s="34">
        <v>288.39999999999998</v>
      </c>
      <c r="K32" s="35">
        <f t="shared" si="47"/>
        <v>660.91666666666674</v>
      </c>
      <c r="L32" s="36">
        <f t="shared" si="48"/>
        <v>73.03</v>
      </c>
      <c r="M32" s="37">
        <v>2.61</v>
      </c>
      <c r="N32" s="37">
        <f t="shared" si="50"/>
        <v>5.9812500000000002</v>
      </c>
      <c r="O32" s="35">
        <f t="shared" si="51"/>
        <v>436.81068750000003</v>
      </c>
      <c r="P32" s="38">
        <f t="shared" si="52"/>
        <v>1097.7273541666668</v>
      </c>
      <c r="Q32" s="39"/>
    </row>
    <row r="33" spans="1:17" x14ac:dyDescent="0.25">
      <c r="A33" s="122" t="str">
        <f>IF(TRIM(G33)&lt;&gt;"",COUNTA(G$9:$G33)&amp;"","")</f>
        <v>13</v>
      </c>
      <c r="B33" s="123" t="s">
        <v>469</v>
      </c>
      <c r="C33" s="123" t="s">
        <v>470</v>
      </c>
      <c r="D33" s="50"/>
      <c r="E33" s="104" t="s">
        <v>376</v>
      </c>
      <c r="F33" s="124">
        <f>2*4*4*1.5/27</f>
        <v>1.7777777777777777</v>
      </c>
      <c r="G33" s="106" t="s">
        <v>232</v>
      </c>
      <c r="H33" s="33">
        <v>0.1</v>
      </c>
      <c r="I33" s="82">
        <f t="shared" si="45"/>
        <v>1.9555555555555555</v>
      </c>
      <c r="J33" s="34">
        <v>288.39999999999998</v>
      </c>
      <c r="K33" s="35">
        <f t="shared" si="47"/>
        <v>563.98222222222216</v>
      </c>
      <c r="L33" s="36">
        <f t="shared" si="48"/>
        <v>73.03</v>
      </c>
      <c r="M33" s="37">
        <v>2.61</v>
      </c>
      <c r="N33" s="37">
        <f t="shared" si="50"/>
        <v>5.1039999999999992</v>
      </c>
      <c r="O33" s="35">
        <f t="shared" si="51"/>
        <v>372.74511999999993</v>
      </c>
      <c r="P33" s="38">
        <f t="shared" si="52"/>
        <v>936.72734222222209</v>
      </c>
      <c r="Q33" s="39"/>
    </row>
    <row r="34" spans="1:17" x14ac:dyDescent="0.25">
      <c r="A34" s="122" t="str">
        <f>IF(TRIM(G34)&lt;&gt;"",COUNTA(G$9:$G34)&amp;"","")</f>
        <v>14</v>
      </c>
      <c r="B34" s="123" t="s">
        <v>469</v>
      </c>
      <c r="C34" s="123" t="s">
        <v>470</v>
      </c>
      <c r="D34" s="50"/>
      <c r="E34" s="89" t="s">
        <v>377</v>
      </c>
      <c r="F34" s="124">
        <f>4*5*5*1.5/27</f>
        <v>5.5555555555555554</v>
      </c>
      <c r="G34" s="106" t="s">
        <v>232</v>
      </c>
      <c r="H34" s="33">
        <v>0.1</v>
      </c>
      <c r="I34" s="82">
        <f t="shared" ref="I34:I46" si="53">IF(F34=0,"",F34+(F34*H34))</f>
        <v>6.1111111111111107</v>
      </c>
      <c r="J34" s="34">
        <v>288.39999999999998</v>
      </c>
      <c r="K34" s="35">
        <f t="shared" ref="K34:K46" si="54">IF(F34=0,"",J34*I34)</f>
        <v>1762.4444444444441</v>
      </c>
      <c r="L34" s="36">
        <f t="shared" ref="L34:L46" si="55">IF(F34=0,"",L$14)</f>
        <v>73.03</v>
      </c>
      <c r="M34" s="37">
        <v>2.61</v>
      </c>
      <c r="N34" s="37">
        <f t="shared" ref="N34:N46" si="56">IF(F34=0,"",M34*I34)</f>
        <v>15.949999999999998</v>
      </c>
      <c r="O34" s="35">
        <f t="shared" ref="O34:O46" si="57">IF(F34=0,"",N34*L34)</f>
        <v>1164.8284999999998</v>
      </c>
      <c r="P34" s="38">
        <f t="shared" ref="P34:P46" si="58">IF(F34=0,"",K34+O34)</f>
        <v>2927.272944444444</v>
      </c>
      <c r="Q34" s="39"/>
    </row>
    <row r="35" spans="1:17" x14ac:dyDescent="0.25">
      <c r="A35" s="122" t="str">
        <f>IF(TRIM(G35)&lt;&gt;"",COUNTA(G$9:$G35)&amp;"","")</f>
        <v>15</v>
      </c>
      <c r="B35" s="123" t="s">
        <v>469</v>
      </c>
      <c r="C35" s="123" t="s">
        <v>470</v>
      </c>
      <c r="D35" s="50"/>
      <c r="E35" s="104" t="s">
        <v>378</v>
      </c>
      <c r="F35" s="124">
        <f>1*5.5*5.5*1.5/27</f>
        <v>1.6805555555555556</v>
      </c>
      <c r="G35" s="106" t="s">
        <v>232</v>
      </c>
      <c r="H35" s="33">
        <v>0.1</v>
      </c>
      <c r="I35" s="82">
        <f t="shared" si="53"/>
        <v>1.8486111111111112</v>
      </c>
      <c r="J35" s="34">
        <v>288.39999999999998</v>
      </c>
      <c r="K35" s="35">
        <f t="shared" si="54"/>
        <v>533.13944444444439</v>
      </c>
      <c r="L35" s="36">
        <f t="shared" si="55"/>
        <v>73.03</v>
      </c>
      <c r="M35" s="37">
        <v>2.61</v>
      </c>
      <c r="N35" s="37">
        <f t="shared" si="56"/>
        <v>4.8248749999999996</v>
      </c>
      <c r="O35" s="35">
        <f t="shared" si="57"/>
        <v>352.36062124999995</v>
      </c>
      <c r="P35" s="38">
        <f t="shared" si="58"/>
        <v>885.5000656944444</v>
      </c>
      <c r="Q35" s="39"/>
    </row>
    <row r="36" spans="1:17" x14ac:dyDescent="0.25">
      <c r="A36" s="122" t="str">
        <f>IF(TRIM(G36)&lt;&gt;"",COUNTA(G$9:$G36)&amp;"","")</f>
        <v>16</v>
      </c>
      <c r="B36" s="123" t="s">
        <v>469</v>
      </c>
      <c r="C36" s="123" t="s">
        <v>470</v>
      </c>
      <c r="D36" s="50"/>
      <c r="E36" s="104" t="s">
        <v>379</v>
      </c>
      <c r="F36" s="124">
        <f>1*5.5*8*1.5/27</f>
        <v>2.4444444444444446</v>
      </c>
      <c r="G36" s="106" t="s">
        <v>232</v>
      </c>
      <c r="H36" s="33">
        <v>0.1</v>
      </c>
      <c r="I36" s="82">
        <f t="shared" si="53"/>
        <v>2.6888888888888891</v>
      </c>
      <c r="J36" s="34">
        <v>288.39999999999998</v>
      </c>
      <c r="K36" s="35">
        <f t="shared" si="54"/>
        <v>775.4755555555555</v>
      </c>
      <c r="L36" s="36">
        <f t="shared" si="55"/>
        <v>73.03</v>
      </c>
      <c r="M36" s="37">
        <v>2.61</v>
      </c>
      <c r="N36" s="37">
        <f t="shared" si="56"/>
        <v>7.0179999999999998</v>
      </c>
      <c r="O36" s="35">
        <f t="shared" si="57"/>
        <v>512.52454</v>
      </c>
      <c r="P36" s="38">
        <f t="shared" si="58"/>
        <v>1288.0000955555556</v>
      </c>
      <c r="Q36" s="39"/>
    </row>
    <row r="37" spans="1:17" ht="30" x14ac:dyDescent="0.25">
      <c r="A37" s="122" t="str">
        <f>IF(TRIM(G37)&lt;&gt;"",COUNTA(G$9:$G37)&amp;"","")</f>
        <v>17</v>
      </c>
      <c r="B37" s="123" t="s">
        <v>469</v>
      </c>
      <c r="C37" s="123" t="s">
        <v>470</v>
      </c>
      <c r="D37" s="50"/>
      <c r="E37" s="111" t="s">
        <v>396</v>
      </c>
      <c r="F37" s="124">
        <f>126.18*(1.33*2.33+0.06)/27</f>
        <v>14.76259266666667</v>
      </c>
      <c r="G37" s="106" t="s">
        <v>232</v>
      </c>
      <c r="H37" s="33">
        <v>0.1</v>
      </c>
      <c r="I37" s="82">
        <f t="shared" ref="I37" si="59">IF(F37=0,"",F37+(F37*H37))</f>
        <v>16.238851933333336</v>
      </c>
      <c r="J37" s="34">
        <v>288.39999999999998</v>
      </c>
      <c r="K37" s="35">
        <f t="shared" ref="K37" si="60">IF(F37=0,"",J37*I37)</f>
        <v>4683.2848975733341</v>
      </c>
      <c r="L37" s="36">
        <f t="shared" ref="L37" si="61">IF(F37=0,"",L$14)</f>
        <v>73.03</v>
      </c>
      <c r="M37" s="37">
        <v>2.61</v>
      </c>
      <c r="N37" s="37">
        <f t="shared" ref="N37" si="62">IF(F37=0,"",M37*I37)</f>
        <v>42.383403546000004</v>
      </c>
      <c r="O37" s="35">
        <f t="shared" ref="O37" si="63">IF(F37=0,"",N37*L37)</f>
        <v>3095.2599609643803</v>
      </c>
      <c r="P37" s="38">
        <f t="shared" ref="P37" si="64">IF(F37=0,"",K37+O37)</f>
        <v>7778.5448585377144</v>
      </c>
      <c r="Q37" s="39"/>
    </row>
    <row r="38" spans="1:17" x14ac:dyDescent="0.25">
      <c r="A38" s="122" t="str">
        <f>IF(TRIM(G38)&lt;&gt;"",COUNTA(G$9:$G38)&amp;"","")</f>
        <v>18</v>
      </c>
      <c r="B38" s="123" t="s">
        <v>469</v>
      </c>
      <c r="C38" s="123" t="s">
        <v>470</v>
      </c>
      <c r="D38" s="50"/>
      <c r="E38" s="195" t="s">
        <v>278</v>
      </c>
      <c r="F38" s="124">
        <v>126.18</v>
      </c>
      <c r="G38" s="106" t="s">
        <v>228</v>
      </c>
      <c r="H38" s="33">
        <v>0.1</v>
      </c>
      <c r="I38" s="82">
        <f t="shared" si="53"/>
        <v>138.798</v>
      </c>
      <c r="J38" s="34">
        <v>4.25</v>
      </c>
      <c r="K38" s="35">
        <f t="shared" si="54"/>
        <v>589.89149999999995</v>
      </c>
      <c r="L38" s="36">
        <f t="shared" si="55"/>
        <v>73.03</v>
      </c>
      <c r="M38" s="37">
        <v>0.153</v>
      </c>
      <c r="N38" s="37">
        <f t="shared" si="56"/>
        <v>21.236094000000001</v>
      </c>
      <c r="O38" s="35">
        <f t="shared" si="57"/>
        <v>1550.8719448200002</v>
      </c>
      <c r="P38" s="38">
        <f t="shared" si="58"/>
        <v>2140.7634448200001</v>
      </c>
      <c r="Q38" s="39"/>
    </row>
    <row r="39" spans="1:17" x14ac:dyDescent="0.25">
      <c r="A39" s="122" t="str">
        <f>IF(TRIM(G39)&lt;&gt;"",COUNTA(G$9:$G39)&amp;"","")</f>
        <v>19</v>
      </c>
      <c r="B39" s="123" t="s">
        <v>469</v>
      </c>
      <c r="C39" s="123" t="s">
        <v>470</v>
      </c>
      <c r="D39" s="50"/>
      <c r="E39" s="104" t="s">
        <v>380</v>
      </c>
      <c r="F39" s="124">
        <f>103.86*0.5*0.5/27</f>
        <v>0.96166666666666667</v>
      </c>
      <c r="G39" s="106" t="s">
        <v>232</v>
      </c>
      <c r="H39" s="33">
        <v>0.1</v>
      </c>
      <c r="I39" s="82">
        <f t="shared" si="53"/>
        <v>1.0578333333333334</v>
      </c>
      <c r="J39" s="34">
        <v>288.39999999999998</v>
      </c>
      <c r="K39" s="35">
        <f t="shared" si="54"/>
        <v>305.07913333333335</v>
      </c>
      <c r="L39" s="36">
        <f t="shared" si="55"/>
        <v>73.03</v>
      </c>
      <c r="M39" s="37">
        <v>2.61</v>
      </c>
      <c r="N39" s="37">
        <f t="shared" si="56"/>
        <v>2.760945</v>
      </c>
      <c r="O39" s="35">
        <f t="shared" si="57"/>
        <v>201.63181335000002</v>
      </c>
      <c r="P39" s="38">
        <f t="shared" si="58"/>
        <v>506.71094668333336</v>
      </c>
      <c r="Q39" s="39"/>
    </row>
    <row r="40" spans="1:17" ht="30" x14ac:dyDescent="0.25">
      <c r="A40" s="122" t="str">
        <f>IF(TRIM(G40)&lt;&gt;"",COUNTA(G$9:$G40)&amp;"","")</f>
        <v>20</v>
      </c>
      <c r="B40" s="123" t="s">
        <v>469</v>
      </c>
      <c r="C40" s="123" t="s">
        <v>470</v>
      </c>
      <c r="D40" s="50"/>
      <c r="E40" s="111" t="s">
        <v>385</v>
      </c>
      <c r="F40" s="124">
        <f>21.55*(2*2.33+0.12)/27</f>
        <v>3.8151481481481486</v>
      </c>
      <c r="G40" s="106" t="s">
        <v>232</v>
      </c>
      <c r="H40" s="33">
        <v>0.1</v>
      </c>
      <c r="I40" s="82">
        <f t="shared" si="53"/>
        <v>4.1966629629629635</v>
      </c>
      <c r="J40" s="34">
        <v>288.39999999999998</v>
      </c>
      <c r="K40" s="35">
        <f t="shared" si="54"/>
        <v>1210.3175985185185</v>
      </c>
      <c r="L40" s="36">
        <f t="shared" si="55"/>
        <v>73.03</v>
      </c>
      <c r="M40" s="37">
        <v>2.61</v>
      </c>
      <c r="N40" s="37">
        <f t="shared" si="56"/>
        <v>10.953290333333333</v>
      </c>
      <c r="O40" s="35">
        <f t="shared" si="57"/>
        <v>799.91879304333338</v>
      </c>
      <c r="P40" s="38">
        <f t="shared" si="58"/>
        <v>2010.2363915618519</v>
      </c>
      <c r="Q40" s="39"/>
    </row>
    <row r="41" spans="1:17" ht="30" x14ac:dyDescent="0.25">
      <c r="A41" s="122" t="str">
        <f>IF(TRIM(G41)&lt;&gt;"",COUNTA(G$9:$G41)&amp;"","")</f>
        <v>21</v>
      </c>
      <c r="B41" s="123" t="s">
        <v>469</v>
      </c>
      <c r="C41" s="123" t="s">
        <v>470</v>
      </c>
      <c r="D41" s="50"/>
      <c r="E41" s="111" t="s">
        <v>386</v>
      </c>
      <c r="F41" s="124">
        <f>46.33*(2*4.17+0.12)/27</f>
        <v>14.516733333333331</v>
      </c>
      <c r="G41" s="106" t="s">
        <v>232</v>
      </c>
      <c r="H41" s="33">
        <v>0.1</v>
      </c>
      <c r="I41" s="82">
        <f t="shared" si="53"/>
        <v>15.968406666666665</v>
      </c>
      <c r="J41" s="34">
        <v>288.39999999999998</v>
      </c>
      <c r="K41" s="35">
        <f t="shared" si="54"/>
        <v>4605.2884826666659</v>
      </c>
      <c r="L41" s="36">
        <f t="shared" si="55"/>
        <v>73.03</v>
      </c>
      <c r="M41" s="37">
        <v>2.61</v>
      </c>
      <c r="N41" s="37">
        <f t="shared" si="56"/>
        <v>41.677541399999996</v>
      </c>
      <c r="O41" s="35">
        <f t="shared" si="57"/>
        <v>3043.7108484419996</v>
      </c>
      <c r="P41" s="38">
        <f t="shared" si="58"/>
        <v>7648.9993311086655</v>
      </c>
      <c r="Q41" s="39"/>
    </row>
    <row r="42" spans="1:17" x14ac:dyDescent="0.25">
      <c r="A42" s="122" t="str">
        <f>IF(TRIM(G42)&lt;&gt;"",COUNTA(G$9:$G42)&amp;"","")</f>
        <v>22</v>
      </c>
      <c r="B42" s="123" t="s">
        <v>469</v>
      </c>
      <c r="C42" s="123" t="s">
        <v>470</v>
      </c>
      <c r="D42" s="50"/>
      <c r="E42" s="104" t="s">
        <v>381</v>
      </c>
      <c r="F42" s="106">
        <v>1</v>
      </c>
      <c r="G42" s="106" t="s">
        <v>250</v>
      </c>
      <c r="H42" s="33">
        <v>0</v>
      </c>
      <c r="I42" s="82">
        <f t="shared" si="53"/>
        <v>1</v>
      </c>
      <c r="J42" s="34">
        <f t="shared" ref="J42:J46" si="65">IF(F42=0,"",0)</f>
        <v>0</v>
      </c>
      <c r="K42" s="35">
        <f t="shared" si="54"/>
        <v>0</v>
      </c>
      <c r="L42" s="36">
        <f t="shared" si="55"/>
        <v>73.03</v>
      </c>
      <c r="M42" s="37">
        <f t="shared" ref="M42:M46" si="66">IF(F42=0,"",0)</f>
        <v>0</v>
      </c>
      <c r="N42" s="37">
        <f t="shared" si="56"/>
        <v>0</v>
      </c>
      <c r="O42" s="35">
        <f t="shared" si="57"/>
        <v>0</v>
      </c>
      <c r="P42" s="38">
        <f t="shared" si="58"/>
        <v>0</v>
      </c>
      <c r="Q42" s="39"/>
    </row>
    <row r="43" spans="1:17" x14ac:dyDescent="0.25">
      <c r="A43" s="122" t="str">
        <f>IF(TRIM(G43)&lt;&gt;"",COUNTA(G$9:$G43)&amp;"","")</f>
        <v>23</v>
      </c>
      <c r="B43" s="123" t="s">
        <v>469</v>
      </c>
      <c r="C43" s="123" t="s">
        <v>470</v>
      </c>
      <c r="D43" s="50"/>
      <c r="E43" s="89" t="s">
        <v>382</v>
      </c>
      <c r="F43" s="197">
        <f>5*1.17*1.17*1/27</f>
        <v>0.25349999999999995</v>
      </c>
      <c r="G43" s="106" t="s">
        <v>232</v>
      </c>
      <c r="H43" s="33">
        <v>0.1</v>
      </c>
      <c r="I43" s="82">
        <f t="shared" si="53"/>
        <v>0.27884999999999993</v>
      </c>
      <c r="J43" s="34">
        <v>288.39999999999998</v>
      </c>
      <c r="K43" s="35">
        <f t="shared" si="54"/>
        <v>80.420339999999968</v>
      </c>
      <c r="L43" s="36">
        <f t="shared" si="55"/>
        <v>73.03</v>
      </c>
      <c r="M43" s="37">
        <v>2.61</v>
      </c>
      <c r="N43" s="37">
        <f t="shared" si="56"/>
        <v>0.72779849999999979</v>
      </c>
      <c r="O43" s="35">
        <f t="shared" si="57"/>
        <v>53.151124454999987</v>
      </c>
      <c r="P43" s="38">
        <f t="shared" si="58"/>
        <v>133.57146445499995</v>
      </c>
      <c r="Q43" s="39"/>
    </row>
    <row r="44" spans="1:17" x14ac:dyDescent="0.25">
      <c r="A44" s="122" t="str">
        <f>IF(TRIM(G44)&lt;&gt;"",COUNTA(G$9:$G44)&amp;"","")</f>
        <v>24</v>
      </c>
      <c r="B44" s="123" t="s">
        <v>469</v>
      </c>
      <c r="C44" s="123" t="s">
        <v>470</v>
      </c>
      <c r="D44" s="50"/>
      <c r="E44" s="104" t="s">
        <v>383</v>
      </c>
      <c r="F44" s="197">
        <f>3*1.17*1.17*2.5/27</f>
        <v>0.38024999999999992</v>
      </c>
      <c r="G44" s="106" t="s">
        <v>232</v>
      </c>
      <c r="H44" s="33">
        <v>0.1</v>
      </c>
      <c r="I44" s="82">
        <f t="shared" si="53"/>
        <v>0.4182749999999999</v>
      </c>
      <c r="J44" s="34">
        <v>288.39999999999998</v>
      </c>
      <c r="K44" s="35">
        <f t="shared" si="54"/>
        <v>120.63050999999996</v>
      </c>
      <c r="L44" s="36">
        <f t="shared" si="55"/>
        <v>73.03</v>
      </c>
      <c r="M44" s="37">
        <v>2.61</v>
      </c>
      <c r="N44" s="37">
        <f t="shared" si="56"/>
        <v>1.0916977499999996</v>
      </c>
      <c r="O44" s="35">
        <f t="shared" si="57"/>
        <v>79.726686682499974</v>
      </c>
      <c r="P44" s="38">
        <f t="shared" si="58"/>
        <v>200.35719668249993</v>
      </c>
      <c r="Q44" s="39"/>
    </row>
    <row r="45" spans="1:17" x14ac:dyDescent="0.25">
      <c r="A45" s="122" t="str">
        <f>IF(TRIM(G45)&lt;&gt;"",COUNTA(G$9:$G45)&amp;"","")</f>
        <v>25</v>
      </c>
      <c r="B45" s="123" t="s">
        <v>469</v>
      </c>
      <c r="C45" s="123" t="s">
        <v>470</v>
      </c>
      <c r="D45" s="50"/>
      <c r="E45" s="104" t="s">
        <v>384</v>
      </c>
      <c r="F45" s="197">
        <f>6*1.17*1.17*1/27</f>
        <v>0.30419999999999991</v>
      </c>
      <c r="G45" s="106" t="s">
        <v>232</v>
      </c>
      <c r="H45" s="33">
        <v>0.1</v>
      </c>
      <c r="I45" s="82">
        <f t="shared" si="53"/>
        <v>0.33461999999999992</v>
      </c>
      <c r="J45" s="34">
        <v>288.39999999999998</v>
      </c>
      <c r="K45" s="35">
        <f t="shared" si="54"/>
        <v>96.50440799999997</v>
      </c>
      <c r="L45" s="36">
        <f t="shared" si="55"/>
        <v>73.03</v>
      </c>
      <c r="M45" s="37">
        <v>2.61</v>
      </c>
      <c r="N45" s="37">
        <f t="shared" si="56"/>
        <v>0.87335819999999975</v>
      </c>
      <c r="O45" s="35">
        <f t="shared" si="57"/>
        <v>63.781349345999985</v>
      </c>
      <c r="P45" s="38">
        <f t="shared" si="58"/>
        <v>160.28575734599997</v>
      </c>
      <c r="Q45" s="39"/>
    </row>
    <row r="46" spans="1:17" x14ac:dyDescent="0.25">
      <c r="A46" s="122" t="str">
        <f>IF(TRIM(G46)&lt;&gt;"",COUNTA(G$9:$G46)&amp;"","")</f>
        <v/>
      </c>
      <c r="B46" s="123"/>
      <c r="C46" s="123"/>
      <c r="D46" s="50"/>
      <c r="E46" s="193" t="s">
        <v>397</v>
      </c>
      <c r="F46" s="124"/>
      <c r="G46" s="106"/>
      <c r="H46" s="33" t="str">
        <f t="shared" ref="H46" si="67">IF(F46=0,"",0)</f>
        <v/>
      </c>
      <c r="I46" s="82" t="str">
        <f t="shared" si="53"/>
        <v/>
      </c>
      <c r="J46" s="34" t="str">
        <f t="shared" si="65"/>
        <v/>
      </c>
      <c r="K46" s="35" t="str">
        <f t="shared" si="54"/>
        <v/>
      </c>
      <c r="L46" s="36" t="str">
        <f t="shared" si="55"/>
        <v/>
      </c>
      <c r="M46" s="37" t="str">
        <f t="shared" si="66"/>
        <v/>
      </c>
      <c r="N46" s="37" t="str">
        <f t="shared" si="56"/>
        <v/>
      </c>
      <c r="O46" s="35" t="str">
        <f t="shared" si="57"/>
        <v/>
      </c>
      <c r="P46" s="38" t="str">
        <f t="shared" si="58"/>
        <v/>
      </c>
      <c r="Q46" s="39"/>
    </row>
    <row r="47" spans="1:17" ht="30" x14ac:dyDescent="0.25">
      <c r="A47" s="122" t="str">
        <f>IF(TRIM(G47)&lt;&gt;"",COUNTA(G$9:$G47)&amp;"","")</f>
        <v>26</v>
      </c>
      <c r="B47" s="123" t="s">
        <v>469</v>
      </c>
      <c r="C47" s="123" t="s">
        <v>470</v>
      </c>
      <c r="D47" s="50"/>
      <c r="E47" s="111" t="s">
        <v>400</v>
      </c>
      <c r="F47" s="124">
        <f>14.78*5.5*1.33/27</f>
        <v>4.0042851851851848</v>
      </c>
      <c r="G47" s="106" t="s">
        <v>232</v>
      </c>
      <c r="H47" s="33">
        <v>0.1</v>
      </c>
      <c r="I47" s="82">
        <f t="shared" ref="I47:I64" si="68">IF(F47=0,"",F47+(F47*H47))</f>
        <v>4.4047137037037034</v>
      </c>
      <c r="J47" s="34">
        <v>288.39999999999998</v>
      </c>
      <c r="K47" s="35">
        <f t="shared" ref="K47:K64" si="69">IF(F47=0,"",J47*I47)</f>
        <v>1270.3194321481481</v>
      </c>
      <c r="L47" s="36">
        <f t="shared" ref="L47:L64" si="70">IF(F47=0,"",L$14)</f>
        <v>73.03</v>
      </c>
      <c r="M47" s="37">
        <v>2.61</v>
      </c>
      <c r="N47" s="37">
        <f t="shared" ref="N47:N64" si="71">IF(F47=0,"",M47*I47)</f>
        <v>11.496302766666666</v>
      </c>
      <c r="O47" s="35">
        <f t="shared" ref="O47:O64" si="72">IF(F47=0,"",N47*L47)</f>
        <v>839.57499104966666</v>
      </c>
      <c r="P47" s="38">
        <f t="shared" ref="P47:P64" si="73">IF(F47=0,"",K47+O47)</f>
        <v>2109.8944231978148</v>
      </c>
      <c r="Q47" s="39"/>
    </row>
    <row r="48" spans="1:17" ht="30" x14ac:dyDescent="0.25">
      <c r="A48" s="122" t="str">
        <f>IF(TRIM(G48)&lt;&gt;"",COUNTA(G$9:$G48)&amp;"","")</f>
        <v>27</v>
      </c>
      <c r="B48" s="123" t="s">
        <v>469</v>
      </c>
      <c r="C48" s="123" t="s">
        <v>470</v>
      </c>
      <c r="D48" s="50"/>
      <c r="E48" s="111" t="s">
        <v>401</v>
      </c>
      <c r="F48" s="124">
        <f>13.7*6.5*1.33/27</f>
        <v>4.3865370370370371</v>
      </c>
      <c r="G48" s="106" t="s">
        <v>232</v>
      </c>
      <c r="H48" s="33">
        <v>0.1</v>
      </c>
      <c r="I48" s="82">
        <f t="shared" si="68"/>
        <v>4.8251907407407408</v>
      </c>
      <c r="J48" s="34">
        <v>288.39999999999998</v>
      </c>
      <c r="K48" s="35">
        <f t="shared" si="69"/>
        <v>1391.5850096296294</v>
      </c>
      <c r="L48" s="36">
        <f t="shared" si="70"/>
        <v>73.03</v>
      </c>
      <c r="M48" s="37">
        <v>2.61</v>
      </c>
      <c r="N48" s="37">
        <f t="shared" si="71"/>
        <v>12.593747833333333</v>
      </c>
      <c r="O48" s="35">
        <f t="shared" si="72"/>
        <v>919.72140426833334</v>
      </c>
      <c r="P48" s="38">
        <f t="shared" si="73"/>
        <v>2311.3064138979626</v>
      </c>
      <c r="Q48" s="39"/>
    </row>
    <row r="49" spans="1:18" ht="30" x14ac:dyDescent="0.25">
      <c r="A49" s="122" t="str">
        <f>IF(TRIM(G49)&lt;&gt;"",COUNTA(G$9:$G49)&amp;"","")</f>
        <v>28</v>
      </c>
      <c r="B49" s="123" t="s">
        <v>469</v>
      </c>
      <c r="C49" s="123" t="s">
        <v>470</v>
      </c>
      <c r="D49" s="50"/>
      <c r="E49" s="111" t="s">
        <v>402</v>
      </c>
      <c r="F49" s="124">
        <f>3.3*8*1.5/27</f>
        <v>1.4666666666666666</v>
      </c>
      <c r="G49" s="106" t="s">
        <v>232</v>
      </c>
      <c r="H49" s="33">
        <v>0.1</v>
      </c>
      <c r="I49" s="82">
        <f t="shared" si="68"/>
        <v>1.6133333333333333</v>
      </c>
      <c r="J49" s="34">
        <v>288.39999999999998</v>
      </c>
      <c r="K49" s="35">
        <f t="shared" si="69"/>
        <v>465.28533333333326</v>
      </c>
      <c r="L49" s="36">
        <f t="shared" si="70"/>
        <v>73.03</v>
      </c>
      <c r="M49" s="37">
        <v>2.61</v>
      </c>
      <c r="N49" s="37">
        <f t="shared" si="71"/>
        <v>4.2107999999999999</v>
      </c>
      <c r="O49" s="35">
        <f t="shared" si="72"/>
        <v>307.514724</v>
      </c>
      <c r="P49" s="38">
        <f t="shared" si="73"/>
        <v>772.80005733333326</v>
      </c>
      <c r="Q49" s="39"/>
    </row>
    <row r="50" spans="1:18" ht="30" x14ac:dyDescent="0.25">
      <c r="A50" s="122" t="str">
        <f>IF(TRIM(G50)&lt;&gt;"",COUNTA(G$9:$G50)&amp;"","")</f>
        <v>29</v>
      </c>
      <c r="B50" s="123" t="s">
        <v>469</v>
      </c>
      <c r="C50" s="123" t="s">
        <v>470</v>
      </c>
      <c r="D50" s="50"/>
      <c r="E50" s="111" t="s">
        <v>403</v>
      </c>
      <c r="F50" s="124">
        <f>87.26*9.5*1.67/27</f>
        <v>51.273329629629629</v>
      </c>
      <c r="G50" s="106" t="s">
        <v>232</v>
      </c>
      <c r="H50" s="33">
        <v>0.1</v>
      </c>
      <c r="I50" s="82">
        <f t="shared" si="68"/>
        <v>56.400662592592596</v>
      </c>
      <c r="J50" s="34">
        <v>288.39999999999998</v>
      </c>
      <c r="K50" s="35">
        <f t="shared" si="69"/>
        <v>16265.951091703704</v>
      </c>
      <c r="L50" s="36">
        <f t="shared" si="70"/>
        <v>73.03</v>
      </c>
      <c r="M50" s="37">
        <v>2.61</v>
      </c>
      <c r="N50" s="37">
        <f t="shared" si="71"/>
        <v>147.20572936666667</v>
      </c>
      <c r="O50" s="35">
        <f t="shared" si="72"/>
        <v>10750.434415647667</v>
      </c>
      <c r="P50" s="38">
        <f t="shared" si="73"/>
        <v>27016.38550735137</v>
      </c>
      <c r="Q50" s="39"/>
    </row>
    <row r="51" spans="1:18" ht="30" x14ac:dyDescent="0.25">
      <c r="A51" s="122" t="str">
        <f>IF(TRIM(G51)&lt;&gt;"",COUNTA(G$9:$G51)&amp;"","")</f>
        <v>30</v>
      </c>
      <c r="B51" s="123" t="s">
        <v>469</v>
      </c>
      <c r="C51" s="123" t="s">
        <v>470</v>
      </c>
      <c r="D51" s="50"/>
      <c r="E51" s="111" t="s">
        <v>404</v>
      </c>
      <c r="F51" s="124">
        <f>7.51*4*1.33/27</f>
        <v>1.4797481481481483</v>
      </c>
      <c r="G51" s="106" t="s">
        <v>232</v>
      </c>
      <c r="H51" s="33">
        <v>0.1</v>
      </c>
      <c r="I51" s="82">
        <f t="shared" si="68"/>
        <v>1.627722962962963</v>
      </c>
      <c r="J51" s="34">
        <v>288.39999999999998</v>
      </c>
      <c r="K51" s="35">
        <f t="shared" si="69"/>
        <v>469.43530251851848</v>
      </c>
      <c r="L51" s="36">
        <f t="shared" si="70"/>
        <v>73.03</v>
      </c>
      <c r="M51" s="37">
        <v>2.61</v>
      </c>
      <c r="N51" s="37">
        <f t="shared" si="71"/>
        <v>4.2483569333333335</v>
      </c>
      <c r="O51" s="35">
        <f t="shared" si="72"/>
        <v>310.25750684133334</v>
      </c>
      <c r="P51" s="38">
        <f t="shared" si="73"/>
        <v>779.69280935985182</v>
      </c>
      <c r="Q51" s="39"/>
    </row>
    <row r="52" spans="1:18" ht="30" x14ac:dyDescent="0.25">
      <c r="A52" s="122" t="str">
        <f>IF(TRIM(G52)&lt;&gt;"",COUNTA(G$9:$G52)&amp;"","")</f>
        <v>31</v>
      </c>
      <c r="B52" s="123" t="s">
        <v>469</v>
      </c>
      <c r="C52" s="123" t="s">
        <v>470</v>
      </c>
      <c r="D52" s="50"/>
      <c r="E52" s="111" t="s">
        <v>405</v>
      </c>
      <c r="F52" s="124">
        <f>9.05*11*1.33/27</f>
        <v>4.9037592592592603</v>
      </c>
      <c r="G52" s="106" t="s">
        <v>232</v>
      </c>
      <c r="H52" s="33">
        <v>0.1</v>
      </c>
      <c r="I52" s="82">
        <f t="shared" si="68"/>
        <v>5.3941351851851866</v>
      </c>
      <c r="J52" s="34">
        <v>288.39999999999998</v>
      </c>
      <c r="K52" s="35">
        <f t="shared" si="69"/>
        <v>1555.6685874074078</v>
      </c>
      <c r="L52" s="36">
        <f t="shared" si="70"/>
        <v>73.03</v>
      </c>
      <c r="M52" s="37">
        <v>2.61</v>
      </c>
      <c r="N52" s="37">
        <f t="shared" si="71"/>
        <v>14.078692833333337</v>
      </c>
      <c r="O52" s="35">
        <f t="shared" si="72"/>
        <v>1028.1669376183336</v>
      </c>
      <c r="P52" s="38">
        <f t="shared" si="73"/>
        <v>2583.8355250257414</v>
      </c>
      <c r="Q52" s="39"/>
    </row>
    <row r="53" spans="1:18" ht="30" x14ac:dyDescent="0.25">
      <c r="A53" s="122" t="str">
        <f>IF(TRIM(G53)&lt;&gt;"",COUNTA(G$9:$G53)&amp;"","")</f>
        <v>32</v>
      </c>
      <c r="B53" s="123" t="s">
        <v>469</v>
      </c>
      <c r="C53" s="123" t="s">
        <v>470</v>
      </c>
      <c r="D53" s="50"/>
      <c r="E53" s="111" t="s">
        <v>412</v>
      </c>
      <c r="F53" s="215">
        <f>1.65*0.67*3.33/27</f>
        <v>0.13634499999999999</v>
      </c>
      <c r="G53" s="106" t="s">
        <v>232</v>
      </c>
      <c r="H53" s="33">
        <v>0.1</v>
      </c>
      <c r="I53" s="82">
        <f t="shared" si="68"/>
        <v>0.14997949999999999</v>
      </c>
      <c r="J53" s="34">
        <v>288.39999999999998</v>
      </c>
      <c r="K53" s="35">
        <f t="shared" si="69"/>
        <v>43.254087799999994</v>
      </c>
      <c r="L53" s="36">
        <f t="shared" si="70"/>
        <v>73.03</v>
      </c>
      <c r="M53" s="37">
        <v>2.61</v>
      </c>
      <c r="N53" s="37">
        <f t="shared" si="71"/>
        <v>0.39144649499999995</v>
      </c>
      <c r="O53" s="35">
        <f t="shared" si="72"/>
        <v>28.587337529849997</v>
      </c>
      <c r="P53" s="38">
        <f t="shared" si="73"/>
        <v>71.841425329849983</v>
      </c>
      <c r="Q53" s="39"/>
    </row>
    <row r="54" spans="1:18" ht="30" x14ac:dyDescent="0.25">
      <c r="A54" s="122" t="str">
        <f>IF(TRIM(G54)&lt;&gt;"",COUNTA(G$9:$G54)&amp;"","")</f>
        <v>33</v>
      </c>
      <c r="B54" s="123" t="s">
        <v>469</v>
      </c>
      <c r="C54" s="123" t="s">
        <v>470</v>
      </c>
      <c r="D54" s="50"/>
      <c r="E54" s="111" t="s">
        <v>406</v>
      </c>
      <c r="F54" s="124">
        <f>21.74*0.67*5.33/27</f>
        <v>2.8753968148148146</v>
      </c>
      <c r="G54" s="106" t="s">
        <v>232</v>
      </c>
      <c r="H54" s="33">
        <v>0.1</v>
      </c>
      <c r="I54" s="82">
        <f t="shared" si="68"/>
        <v>3.1629364962962958</v>
      </c>
      <c r="J54" s="34">
        <v>288.39999999999998</v>
      </c>
      <c r="K54" s="35">
        <f t="shared" si="69"/>
        <v>912.19088553185168</v>
      </c>
      <c r="L54" s="36">
        <f t="shared" si="70"/>
        <v>73.03</v>
      </c>
      <c r="M54" s="37">
        <v>2.61</v>
      </c>
      <c r="N54" s="37">
        <f t="shared" si="71"/>
        <v>8.2552642553333317</v>
      </c>
      <c r="O54" s="35">
        <f t="shared" si="72"/>
        <v>602.88194856699317</v>
      </c>
      <c r="P54" s="38">
        <f t="shared" si="73"/>
        <v>1515.0728340988449</v>
      </c>
      <c r="Q54" s="39"/>
    </row>
    <row r="55" spans="1:18" ht="30" x14ac:dyDescent="0.25">
      <c r="A55" s="122" t="str">
        <f>IF(TRIM(G55)&lt;&gt;"",COUNTA(G$9:$G55)&amp;"","")</f>
        <v>34</v>
      </c>
      <c r="B55" s="123" t="s">
        <v>469</v>
      </c>
      <c r="C55" s="123" t="s">
        <v>470</v>
      </c>
      <c r="D55" s="50"/>
      <c r="E55" s="111" t="s">
        <v>407</v>
      </c>
      <c r="F55" s="124">
        <f>6.04*0.67*7.67/27</f>
        <v>1.149590962962963</v>
      </c>
      <c r="G55" s="106" t="s">
        <v>232</v>
      </c>
      <c r="H55" s="33">
        <v>0.1</v>
      </c>
      <c r="I55" s="82">
        <f t="shared" si="68"/>
        <v>1.2645500592592593</v>
      </c>
      <c r="J55" s="34">
        <v>288.39999999999998</v>
      </c>
      <c r="K55" s="35">
        <f t="shared" si="69"/>
        <v>364.69623709037035</v>
      </c>
      <c r="L55" s="36">
        <f t="shared" si="70"/>
        <v>73.03</v>
      </c>
      <c r="M55" s="37">
        <v>2.61</v>
      </c>
      <c r="N55" s="37">
        <f t="shared" si="71"/>
        <v>3.3004756546666667</v>
      </c>
      <c r="O55" s="35">
        <f t="shared" si="72"/>
        <v>241.03373706030666</v>
      </c>
      <c r="P55" s="38">
        <f t="shared" si="73"/>
        <v>605.72997415067698</v>
      </c>
      <c r="Q55" s="39"/>
    </row>
    <row r="56" spans="1:18" ht="30" x14ac:dyDescent="0.25">
      <c r="A56" s="122" t="str">
        <f>IF(TRIM(G56)&lt;&gt;"",COUNTA(G$9:$G56)&amp;"","")</f>
        <v>35</v>
      </c>
      <c r="B56" s="123" t="s">
        <v>469</v>
      </c>
      <c r="C56" s="123" t="s">
        <v>470</v>
      </c>
      <c r="D56" s="50"/>
      <c r="E56" s="111" t="s">
        <v>407</v>
      </c>
      <c r="F56" s="124">
        <f>13.94*0.67*7.67/27</f>
        <v>2.6531950370370372</v>
      </c>
      <c r="G56" s="106" t="s">
        <v>232</v>
      </c>
      <c r="H56" s="33">
        <v>0.1</v>
      </c>
      <c r="I56" s="82">
        <f t="shared" si="68"/>
        <v>2.9185145407407411</v>
      </c>
      <c r="J56" s="34">
        <v>288.39999999999998</v>
      </c>
      <c r="K56" s="35">
        <f t="shared" si="69"/>
        <v>841.69959354962964</v>
      </c>
      <c r="L56" s="36">
        <f t="shared" si="70"/>
        <v>73.03</v>
      </c>
      <c r="M56" s="37">
        <v>2.61</v>
      </c>
      <c r="N56" s="37">
        <f t="shared" si="71"/>
        <v>7.6173229513333336</v>
      </c>
      <c r="O56" s="35">
        <f t="shared" si="72"/>
        <v>556.29309513587339</v>
      </c>
      <c r="P56" s="38">
        <f t="shared" si="73"/>
        <v>1397.992688685503</v>
      </c>
      <c r="Q56" s="39"/>
    </row>
    <row r="57" spans="1:18" ht="45" x14ac:dyDescent="0.25">
      <c r="A57" s="122" t="str">
        <f>IF(TRIM(G57)&lt;&gt;"",COUNTA(G$9:$G57)&amp;"","")</f>
        <v>36</v>
      </c>
      <c r="B57" s="123" t="s">
        <v>469</v>
      </c>
      <c r="C57" s="123" t="s">
        <v>470</v>
      </c>
      <c r="D57" s="50"/>
      <c r="E57" s="111" t="s">
        <v>408</v>
      </c>
      <c r="F57" s="124">
        <f>15.22*1*7/27</f>
        <v>3.9459259259259261</v>
      </c>
      <c r="G57" s="106" t="s">
        <v>232</v>
      </c>
      <c r="H57" s="33">
        <v>0.1</v>
      </c>
      <c r="I57" s="82">
        <f t="shared" si="68"/>
        <v>4.3405185185185182</v>
      </c>
      <c r="J57" s="34">
        <v>288.39999999999998</v>
      </c>
      <c r="K57" s="35">
        <f t="shared" si="69"/>
        <v>1251.8055407407405</v>
      </c>
      <c r="L57" s="36">
        <f t="shared" si="70"/>
        <v>73.03</v>
      </c>
      <c r="M57" s="37">
        <v>2.61</v>
      </c>
      <c r="N57" s="37">
        <f t="shared" si="71"/>
        <v>11.328753333333331</v>
      </c>
      <c r="O57" s="35">
        <f t="shared" si="72"/>
        <v>827.33885593333321</v>
      </c>
      <c r="P57" s="38">
        <f t="shared" si="73"/>
        <v>2079.1443966740735</v>
      </c>
      <c r="Q57" s="39"/>
    </row>
    <row r="58" spans="1:18" ht="45" x14ac:dyDescent="0.25">
      <c r="A58" s="122" t="str">
        <f>IF(TRIM(G58)&lt;&gt;"",COUNTA(G$9:$G58)&amp;"","")</f>
        <v>37</v>
      </c>
      <c r="B58" s="123" t="s">
        <v>469</v>
      </c>
      <c r="C58" s="123" t="s">
        <v>470</v>
      </c>
      <c r="D58" s="50"/>
      <c r="E58" s="111" t="s">
        <v>409</v>
      </c>
      <c r="F58" s="124">
        <f>20.45*1*4/27</f>
        <v>3.0296296296296297</v>
      </c>
      <c r="G58" s="106" t="s">
        <v>232</v>
      </c>
      <c r="H58" s="33">
        <v>0.1</v>
      </c>
      <c r="I58" s="82">
        <f t="shared" si="68"/>
        <v>3.3325925925925928</v>
      </c>
      <c r="J58" s="34">
        <v>288.39999999999998</v>
      </c>
      <c r="K58" s="35">
        <f t="shared" si="69"/>
        <v>961.11970370370364</v>
      </c>
      <c r="L58" s="36">
        <f t="shared" si="70"/>
        <v>73.03</v>
      </c>
      <c r="M58" s="37">
        <v>2.61</v>
      </c>
      <c r="N58" s="37">
        <f t="shared" si="71"/>
        <v>8.6980666666666675</v>
      </c>
      <c r="O58" s="35">
        <f t="shared" si="72"/>
        <v>635.21980866666672</v>
      </c>
      <c r="P58" s="38">
        <f t="shared" si="73"/>
        <v>1596.3395123703704</v>
      </c>
      <c r="Q58" s="39"/>
    </row>
    <row r="59" spans="1:18" ht="45" x14ac:dyDescent="0.25">
      <c r="A59" s="122" t="str">
        <f>IF(TRIM(G59)&lt;&gt;"",COUNTA(G$9:$G59)&amp;"","")</f>
        <v>38</v>
      </c>
      <c r="B59" s="123" t="s">
        <v>469</v>
      </c>
      <c r="C59" s="123" t="s">
        <v>470</v>
      </c>
      <c r="D59" s="50"/>
      <c r="E59" s="111" t="s">
        <v>410</v>
      </c>
      <c r="F59" s="124">
        <f>22.88*1*5/27</f>
        <v>4.2370370370370365</v>
      </c>
      <c r="G59" s="106" t="s">
        <v>232</v>
      </c>
      <c r="H59" s="33">
        <v>0.1</v>
      </c>
      <c r="I59" s="82">
        <f t="shared" si="68"/>
        <v>4.6607407407407404</v>
      </c>
      <c r="J59" s="34">
        <v>288.39999999999998</v>
      </c>
      <c r="K59" s="35">
        <f t="shared" si="69"/>
        <v>1344.1576296296294</v>
      </c>
      <c r="L59" s="36">
        <f t="shared" si="70"/>
        <v>73.03</v>
      </c>
      <c r="M59" s="37">
        <v>2.61</v>
      </c>
      <c r="N59" s="37">
        <f t="shared" si="71"/>
        <v>12.164533333333331</v>
      </c>
      <c r="O59" s="35">
        <f t="shared" si="72"/>
        <v>888.37586933333318</v>
      </c>
      <c r="P59" s="38">
        <f t="shared" si="73"/>
        <v>2232.5334989629628</v>
      </c>
      <c r="Q59" s="39"/>
    </row>
    <row r="60" spans="1:18" ht="45" x14ac:dyDescent="0.25">
      <c r="A60" s="122" t="str">
        <f>IF(TRIM(G60)&lt;&gt;"",COUNTA(G$9:$G60)&amp;"","")</f>
        <v>39</v>
      </c>
      <c r="B60" s="123" t="s">
        <v>469</v>
      </c>
      <c r="C60" s="123" t="s">
        <v>470</v>
      </c>
      <c r="D60" s="50"/>
      <c r="E60" s="111" t="s">
        <v>411</v>
      </c>
      <c r="F60" s="124">
        <f>86.57*1*15/27</f>
        <v>48.094444444444441</v>
      </c>
      <c r="G60" s="106" t="s">
        <v>232</v>
      </c>
      <c r="H60" s="33">
        <v>0.1</v>
      </c>
      <c r="I60" s="82">
        <f t="shared" si="68"/>
        <v>52.903888888888886</v>
      </c>
      <c r="J60" s="34">
        <v>288.39999999999998</v>
      </c>
      <c r="K60" s="35">
        <f t="shared" si="69"/>
        <v>15257.481555555554</v>
      </c>
      <c r="L60" s="36">
        <f t="shared" si="70"/>
        <v>73.03</v>
      </c>
      <c r="M60" s="37">
        <v>2.61</v>
      </c>
      <c r="N60" s="37">
        <f t="shared" si="71"/>
        <v>138.07915</v>
      </c>
      <c r="O60" s="35">
        <f t="shared" si="72"/>
        <v>10083.920324500001</v>
      </c>
      <c r="P60" s="38">
        <f t="shared" si="73"/>
        <v>25341.401880055557</v>
      </c>
      <c r="Q60" s="39"/>
    </row>
    <row r="61" spans="1:18" x14ac:dyDescent="0.25">
      <c r="A61" s="122" t="str">
        <f>IF(TRIM(G61)&lt;&gt;"",COUNTA(G$9:$G61)&amp;"","")</f>
        <v>40</v>
      </c>
      <c r="B61" s="123" t="s">
        <v>469</v>
      </c>
      <c r="C61" s="123" t="s">
        <v>470</v>
      </c>
      <c r="D61" s="50"/>
      <c r="E61" s="111" t="s">
        <v>398</v>
      </c>
      <c r="F61" s="124">
        <f>86.3*0.5*1.5/27</f>
        <v>2.3972222222222221</v>
      </c>
      <c r="G61" s="106" t="s">
        <v>232</v>
      </c>
      <c r="H61" s="33">
        <v>0.1</v>
      </c>
      <c r="I61" s="82">
        <f t="shared" si="68"/>
        <v>2.6369444444444445</v>
      </c>
      <c r="J61" s="34">
        <v>288.39999999999998</v>
      </c>
      <c r="K61" s="35">
        <f t="shared" si="69"/>
        <v>760.4947777777777</v>
      </c>
      <c r="L61" s="36">
        <f t="shared" si="70"/>
        <v>73.03</v>
      </c>
      <c r="M61" s="37">
        <v>2.61</v>
      </c>
      <c r="N61" s="37">
        <f t="shared" si="71"/>
        <v>6.8824249999999996</v>
      </c>
      <c r="O61" s="35">
        <f t="shared" si="72"/>
        <v>502.62349774999996</v>
      </c>
      <c r="P61" s="38">
        <f t="shared" si="73"/>
        <v>1263.1182755277778</v>
      </c>
      <c r="Q61" s="39"/>
    </row>
    <row r="62" spans="1:18" x14ac:dyDescent="0.25">
      <c r="A62" s="122" t="str">
        <f>IF(TRIM(G62)&lt;&gt;"",COUNTA(G$9:$G62)&amp;"","")</f>
        <v>41</v>
      </c>
      <c r="B62" s="123" t="s">
        <v>469</v>
      </c>
      <c r="C62" s="123" t="s">
        <v>470</v>
      </c>
      <c r="D62" s="50"/>
      <c r="E62" s="195" t="s">
        <v>399</v>
      </c>
      <c r="F62" s="124">
        <v>135.6</v>
      </c>
      <c r="G62" s="106" t="s">
        <v>228</v>
      </c>
      <c r="H62" s="33">
        <v>0.1</v>
      </c>
      <c r="I62" s="82">
        <f t="shared" si="68"/>
        <v>149.16</v>
      </c>
      <c r="J62" s="34">
        <v>4.25</v>
      </c>
      <c r="K62" s="35">
        <f t="shared" si="69"/>
        <v>633.92999999999995</v>
      </c>
      <c r="L62" s="36">
        <f t="shared" si="70"/>
        <v>73.03</v>
      </c>
      <c r="M62" s="37">
        <v>0.153</v>
      </c>
      <c r="N62" s="37">
        <f t="shared" si="71"/>
        <v>22.821479999999998</v>
      </c>
      <c r="O62" s="35">
        <f t="shared" si="72"/>
        <v>1666.6526843999998</v>
      </c>
      <c r="P62" s="38">
        <f t="shared" si="73"/>
        <v>2300.5826843999998</v>
      </c>
      <c r="Q62" s="39"/>
    </row>
    <row r="63" spans="1:18" x14ac:dyDescent="0.25">
      <c r="A63" s="122" t="str">
        <f>IF(TRIM(G63)&lt;&gt;"",COUNTA(G$9:$G63)&amp;"","")</f>
        <v>42</v>
      </c>
      <c r="B63" s="123" t="s">
        <v>469</v>
      </c>
      <c r="C63" s="123" t="s">
        <v>470</v>
      </c>
      <c r="D63" s="50"/>
      <c r="E63" s="195" t="s">
        <v>413</v>
      </c>
      <c r="F63" s="124">
        <v>2234.1552999999999</v>
      </c>
      <c r="G63" s="106" t="s">
        <v>214</v>
      </c>
      <c r="H63" s="33">
        <v>0.1</v>
      </c>
      <c r="I63" s="82">
        <f t="shared" ref="I63" si="74">IF(F63=0,"",F63+(F63*H63))</f>
        <v>2457.5708299999997</v>
      </c>
      <c r="J63" s="34">
        <v>0.06</v>
      </c>
      <c r="K63" s="35">
        <f t="shared" ref="K63" si="75">IF(F63=0,"",J63*I63)</f>
        <v>147.45424979999999</v>
      </c>
      <c r="L63" s="36">
        <f t="shared" ref="L63" si="76">IF(F63=0,"",L$14)</f>
        <v>73.03</v>
      </c>
      <c r="M63" s="216">
        <v>2E-3</v>
      </c>
      <c r="N63" s="37">
        <f t="shared" ref="N63" si="77">IF(F63=0,"",M63*I63)</f>
        <v>4.9151416599999997</v>
      </c>
      <c r="O63" s="35">
        <f t="shared" ref="O63" si="78">IF(F63=0,"",N63*L63)</f>
        <v>358.95279542980001</v>
      </c>
      <c r="P63" s="38">
        <f t="shared" ref="P63" si="79">IF(F63=0,"",K63+O63)</f>
        <v>506.40704522980002</v>
      </c>
      <c r="Q63" s="39"/>
    </row>
    <row r="64" spans="1:18" x14ac:dyDescent="0.25">
      <c r="A64" s="122" t="str">
        <f>IF(TRIM(G64)&lt;&gt;"",COUNTA(G$9:$G64)&amp;"","")</f>
        <v>43</v>
      </c>
      <c r="B64" s="123" t="s">
        <v>469</v>
      </c>
      <c r="C64" s="123" t="s">
        <v>470</v>
      </c>
      <c r="D64" s="50"/>
      <c r="E64" s="195" t="s">
        <v>414</v>
      </c>
      <c r="F64" s="124">
        <v>2234.1552999999999</v>
      </c>
      <c r="G64" s="106" t="s">
        <v>214</v>
      </c>
      <c r="H64" s="33">
        <v>0.1</v>
      </c>
      <c r="I64" s="82">
        <f t="shared" si="68"/>
        <v>2457.5708299999997</v>
      </c>
      <c r="J64" s="34">
        <v>2.62</v>
      </c>
      <c r="K64" s="35">
        <f t="shared" si="69"/>
        <v>6438.8355745999997</v>
      </c>
      <c r="L64" s="36">
        <f t="shared" si="70"/>
        <v>73.03</v>
      </c>
      <c r="M64" s="37">
        <v>1.0999999999999999E-2</v>
      </c>
      <c r="N64" s="37">
        <f t="shared" si="71"/>
        <v>27.033279129999993</v>
      </c>
      <c r="O64" s="35">
        <f t="shared" si="72"/>
        <v>1974.2403748638994</v>
      </c>
      <c r="P64" s="38">
        <f t="shared" si="73"/>
        <v>8413.0759494638987</v>
      </c>
      <c r="Q64" s="39"/>
      <c r="R64" s="84">
        <f>0.8/0.011</f>
        <v>72.727272727272734</v>
      </c>
    </row>
    <row r="65" spans="1:17" x14ac:dyDescent="0.25">
      <c r="A65" s="122" t="str">
        <f>IF(TRIM(G65)&lt;&gt;"",COUNTA(G$9:$G65)&amp;"","")</f>
        <v/>
      </c>
      <c r="B65" s="123"/>
      <c r="C65" s="123"/>
      <c r="D65" s="50"/>
      <c r="E65" s="193" t="s">
        <v>387</v>
      </c>
      <c r="F65" s="124"/>
      <c r="G65" s="106"/>
      <c r="H65" s="33" t="str">
        <f t="shared" si="44"/>
        <v/>
      </c>
      <c r="I65" s="82" t="str">
        <f t="shared" si="45"/>
        <v/>
      </c>
      <c r="J65" s="34" t="str">
        <f t="shared" si="46"/>
        <v/>
      </c>
      <c r="K65" s="35" t="str">
        <f t="shared" si="47"/>
        <v/>
      </c>
      <c r="L65" s="36" t="str">
        <f t="shared" si="48"/>
        <v/>
      </c>
      <c r="M65" s="37" t="str">
        <f t="shared" si="49"/>
        <v/>
      </c>
      <c r="N65" s="37" t="str">
        <f t="shared" si="50"/>
        <v/>
      </c>
      <c r="O65" s="35" t="str">
        <f t="shared" si="51"/>
        <v/>
      </c>
      <c r="P65" s="38" t="str">
        <f t="shared" si="52"/>
        <v/>
      </c>
      <c r="Q65" s="39"/>
    </row>
    <row r="66" spans="1:17" x14ac:dyDescent="0.25">
      <c r="A66" s="122" t="str">
        <f>IF(TRIM(G66)&lt;&gt;"",COUNTA(G$9:$G66)&amp;"","")</f>
        <v>44</v>
      </c>
      <c r="B66" s="123" t="s">
        <v>469</v>
      </c>
      <c r="C66" s="123" t="s">
        <v>470</v>
      </c>
      <c r="D66" s="50"/>
      <c r="E66" s="89" t="s">
        <v>388</v>
      </c>
      <c r="F66" s="124">
        <f>12.132*4</f>
        <v>48.527999999999999</v>
      </c>
      <c r="G66" s="106" t="s">
        <v>570</v>
      </c>
      <c r="H66" s="33">
        <v>0.1</v>
      </c>
      <c r="I66" s="82">
        <f>IF(F66=0,"",F66+(F66*H66))</f>
        <v>53.380800000000001</v>
      </c>
      <c r="J66" s="34">
        <v>1.83</v>
      </c>
      <c r="K66" s="35">
        <f>IF(F66=0,"",J66*I66)</f>
        <v>97.686864</v>
      </c>
      <c r="L66" s="36">
        <f>IF(F66=0,"",L$14)</f>
        <v>73.03</v>
      </c>
      <c r="M66" s="37">
        <v>1.6E-2</v>
      </c>
      <c r="N66" s="37">
        <f>IF(F66=0,"",M66*I66)</f>
        <v>0.85409279999999999</v>
      </c>
      <c r="O66" s="35">
        <f>IF(F66=0,"",N66*L66)</f>
        <v>62.374397184000003</v>
      </c>
      <c r="P66" s="38">
        <f>IF(F66=0,"",K66+O66)</f>
        <v>160.06126118399999</v>
      </c>
      <c r="Q66" s="39"/>
    </row>
    <row r="67" spans="1:17" x14ac:dyDescent="0.25">
      <c r="A67" s="122" t="str">
        <f>IF(TRIM(G67)&lt;&gt;"",COUNTA(G$9:$G67)&amp;"","")</f>
        <v>45</v>
      </c>
      <c r="B67" s="123" t="s">
        <v>469</v>
      </c>
      <c r="C67" s="123" t="s">
        <v>470</v>
      </c>
      <c r="D67" s="50"/>
      <c r="E67" s="89" t="s">
        <v>390</v>
      </c>
      <c r="F67" s="106">
        <f>2.99*4</f>
        <v>11.96</v>
      </c>
      <c r="G67" s="106" t="s">
        <v>570</v>
      </c>
      <c r="H67" s="33">
        <v>0.1</v>
      </c>
      <c r="I67" s="82">
        <f t="shared" ref="I67:I74" si="80">IF(F67=0,"",F67+(F67*H67))</f>
        <v>13.156000000000001</v>
      </c>
      <c r="J67" s="34">
        <v>1.83</v>
      </c>
      <c r="K67" s="35">
        <f t="shared" ref="K67:K74" si="81">IF(F67=0,"",J67*I67)</f>
        <v>24.075480000000002</v>
      </c>
      <c r="L67" s="36">
        <f t="shared" ref="L67:L74" si="82">IF(F67=0,"",L$14)</f>
        <v>73.03</v>
      </c>
      <c r="M67" s="37">
        <v>1.6E-2</v>
      </c>
      <c r="N67" s="37">
        <f t="shared" ref="N67:N74" si="83">IF(F67=0,"",M67*I67)</f>
        <v>0.21049600000000002</v>
      </c>
      <c r="O67" s="35">
        <f t="shared" ref="O67:O74" si="84">IF(F67=0,"",N67*L67)</f>
        <v>15.372522880000002</v>
      </c>
      <c r="P67" s="38">
        <f t="shared" ref="P67:P74" si="85">IF(F67=0,"",K67+O67)</f>
        <v>39.448002880000004</v>
      </c>
      <c r="Q67" s="39"/>
    </row>
    <row r="68" spans="1:17" x14ac:dyDescent="0.25">
      <c r="A68" s="122" t="str">
        <f>IF(TRIM(G68)&lt;&gt;"",COUNTA(G$9:$G68)&amp;"","")</f>
        <v>46</v>
      </c>
      <c r="B68" s="123" t="s">
        <v>469</v>
      </c>
      <c r="C68" s="123" t="s">
        <v>470</v>
      </c>
      <c r="D68" s="50"/>
      <c r="E68" s="104" t="s">
        <v>391</v>
      </c>
      <c r="F68" s="106">
        <f>12.797*8</f>
        <v>102.376</v>
      </c>
      <c r="G68" s="106" t="s">
        <v>570</v>
      </c>
      <c r="H68" s="33">
        <v>0.1</v>
      </c>
      <c r="I68" s="82">
        <f>IF(F68=0,"",F68+(F68*H68))</f>
        <v>112.61360000000001</v>
      </c>
      <c r="J68" s="34">
        <v>1.83</v>
      </c>
      <c r="K68" s="35">
        <f>IF(F68=0,"",J68*I68)</f>
        <v>206.08288800000003</v>
      </c>
      <c r="L68" s="36">
        <f>IF(F68=0,"",L$14)</f>
        <v>73.03</v>
      </c>
      <c r="M68" s="37">
        <v>1.6E-2</v>
      </c>
      <c r="N68" s="37">
        <f>IF(F68=0,"",M68*I68)</f>
        <v>1.8018176000000001</v>
      </c>
      <c r="O68" s="35">
        <f>IF(F68=0,"",N68*L68)</f>
        <v>131.58673932800002</v>
      </c>
      <c r="P68" s="38">
        <f>IF(F68=0,"",K68+O68)</f>
        <v>337.66962732800005</v>
      </c>
      <c r="Q68" s="39"/>
    </row>
    <row r="69" spans="1:17" x14ac:dyDescent="0.25">
      <c r="A69" s="122" t="str">
        <f>IF(TRIM(G69)&lt;&gt;"",COUNTA(G$9:$G69)&amp;"","")</f>
        <v>47</v>
      </c>
      <c r="B69" s="123" t="s">
        <v>469</v>
      </c>
      <c r="C69" s="123" t="s">
        <v>470</v>
      </c>
      <c r="D69" s="50"/>
      <c r="E69" s="104" t="s">
        <v>392</v>
      </c>
      <c r="F69" s="106">
        <f>10.2*8</f>
        <v>81.599999999999994</v>
      </c>
      <c r="G69" s="106" t="s">
        <v>570</v>
      </c>
      <c r="H69" s="33">
        <v>0.1</v>
      </c>
      <c r="I69" s="82">
        <f>IF(F69=0,"",F69+(F69*H69))</f>
        <v>89.759999999999991</v>
      </c>
      <c r="J69" s="34">
        <v>1.83</v>
      </c>
      <c r="K69" s="35">
        <f>IF(F69=0,"",J69*I69)</f>
        <v>164.26079999999999</v>
      </c>
      <c r="L69" s="36">
        <f>IF(F69=0,"",L$14)</f>
        <v>73.03</v>
      </c>
      <c r="M69" s="37">
        <v>1.6E-2</v>
      </c>
      <c r="N69" s="37">
        <f>IF(F69=0,"",M69*I69)</f>
        <v>1.4361599999999999</v>
      </c>
      <c r="O69" s="35">
        <f>IF(F69=0,"",N69*L69)</f>
        <v>104.88276479999999</v>
      </c>
      <c r="P69" s="38">
        <f>IF(F69=0,"",K69+O69)</f>
        <v>269.14356479999998</v>
      </c>
      <c r="Q69" s="39"/>
    </row>
    <row r="70" spans="1:17" x14ac:dyDescent="0.25">
      <c r="A70" s="122" t="str">
        <f>IF(TRIM(G70)&lt;&gt;"",COUNTA(G$9:$G70)&amp;"","")</f>
        <v>48</v>
      </c>
      <c r="B70" s="123" t="s">
        <v>469</v>
      </c>
      <c r="C70" s="123" t="s">
        <v>470</v>
      </c>
      <c r="D70" s="50"/>
      <c r="E70" s="104" t="s">
        <v>393</v>
      </c>
      <c r="F70" s="106">
        <f>16*1.502*1</f>
        <v>24.032</v>
      </c>
      <c r="G70" s="106" t="s">
        <v>570</v>
      </c>
      <c r="H70" s="33">
        <v>0.1</v>
      </c>
      <c r="I70" s="82">
        <f>IF(F70=0,"",F70+(F70*H70))</f>
        <v>26.435200000000002</v>
      </c>
      <c r="J70" s="34">
        <v>1.83</v>
      </c>
      <c r="K70" s="35">
        <f>IF(F70=0,"",J70*I70)</f>
        <v>48.376416000000006</v>
      </c>
      <c r="L70" s="36">
        <f>IF(F70=0,"",L$14)</f>
        <v>73.03</v>
      </c>
      <c r="M70" s="37">
        <v>1.6E-2</v>
      </c>
      <c r="N70" s="37">
        <f>IF(F70=0,"",M70*I70)</f>
        <v>0.42296320000000004</v>
      </c>
      <c r="O70" s="35">
        <f>IF(F70=0,"",N70*L70)</f>
        <v>30.889002496000003</v>
      </c>
      <c r="P70" s="38">
        <f>IF(F70=0,"",K70+O70)</f>
        <v>79.265418496000009</v>
      </c>
      <c r="Q70" s="39"/>
    </row>
    <row r="71" spans="1:17" x14ac:dyDescent="0.25">
      <c r="A71" s="122" t="str">
        <f>IF(TRIM(G71)&lt;&gt;"",COUNTA(G$9:$G71)&amp;"","")</f>
        <v>49</v>
      </c>
      <c r="B71" s="123" t="s">
        <v>469</v>
      </c>
      <c r="C71" s="123" t="s">
        <v>470</v>
      </c>
      <c r="D71" s="50"/>
      <c r="E71" s="104" t="s">
        <v>394</v>
      </c>
      <c r="F71" s="106">
        <f>10.245*6</f>
        <v>61.47</v>
      </c>
      <c r="G71" s="106" t="s">
        <v>570</v>
      </c>
      <c r="H71" s="33">
        <v>0.1</v>
      </c>
      <c r="I71" s="82">
        <f>IF(F71=0,"",F71+(F71*H71))</f>
        <v>67.617000000000004</v>
      </c>
      <c r="J71" s="34">
        <v>1.83</v>
      </c>
      <c r="K71" s="35">
        <f>IF(F71=0,"",J71*I71)</f>
        <v>123.73911000000001</v>
      </c>
      <c r="L71" s="36">
        <f>IF(F71=0,"",L$14)</f>
        <v>73.03</v>
      </c>
      <c r="M71" s="37">
        <v>1.6E-2</v>
      </c>
      <c r="N71" s="37">
        <f>IF(F71=0,"",M71*I71)</f>
        <v>1.0818720000000002</v>
      </c>
      <c r="O71" s="35">
        <f>IF(F71=0,"",N71*L71)</f>
        <v>79.009112160000015</v>
      </c>
      <c r="P71" s="38">
        <f>IF(F71=0,"",K71+O71)</f>
        <v>202.74822216000001</v>
      </c>
      <c r="Q71" s="39"/>
    </row>
    <row r="72" spans="1:17" x14ac:dyDescent="0.25">
      <c r="A72" s="122" t="str">
        <f>IF(TRIM(G72)&lt;&gt;"",COUNTA(G$9:$G72)&amp;"","")</f>
        <v>50</v>
      </c>
      <c r="B72" s="123" t="s">
        <v>469</v>
      </c>
      <c r="C72" s="123" t="s">
        <v>470</v>
      </c>
      <c r="D72" s="50"/>
      <c r="E72" s="104" t="s">
        <v>395</v>
      </c>
      <c r="F72" s="106">
        <f>24*1.043*1</f>
        <v>25.031999999999996</v>
      </c>
      <c r="G72" s="106" t="s">
        <v>570</v>
      </c>
      <c r="H72" s="33">
        <v>0.1</v>
      </c>
      <c r="I72" s="82">
        <f>IF(F72=0,"",F72+(F72*H72))</f>
        <v>27.535199999999996</v>
      </c>
      <c r="J72" s="34">
        <v>1.83</v>
      </c>
      <c r="K72" s="35">
        <f>IF(F72=0,"",J72*I72)</f>
        <v>50.389415999999997</v>
      </c>
      <c r="L72" s="36">
        <f>IF(F72=0,"",L$14)</f>
        <v>73.03</v>
      </c>
      <c r="M72" s="37">
        <v>1.6E-2</v>
      </c>
      <c r="N72" s="37">
        <f>IF(F72=0,"",M72*I72)</f>
        <v>0.44056319999999993</v>
      </c>
      <c r="O72" s="35">
        <f>IF(F72=0,"",N72*L72)</f>
        <v>32.174330495999996</v>
      </c>
      <c r="P72" s="38">
        <f>IF(F72=0,"",K72+O72)</f>
        <v>82.563746495999993</v>
      </c>
      <c r="Q72" s="39"/>
    </row>
    <row r="73" spans="1:17" x14ac:dyDescent="0.25">
      <c r="A73" s="122" t="str">
        <f>IF(TRIM(G73)&lt;&gt;"",COUNTA(G$9:$G73)&amp;"","")</f>
        <v>51</v>
      </c>
      <c r="B73" s="123" t="s">
        <v>469</v>
      </c>
      <c r="C73" s="123" t="s">
        <v>470</v>
      </c>
      <c r="D73" s="50"/>
      <c r="E73" s="89" t="s">
        <v>389</v>
      </c>
      <c r="F73" s="106">
        <f>1.043*8</f>
        <v>8.3439999999999994</v>
      </c>
      <c r="G73" s="106" t="s">
        <v>570</v>
      </c>
      <c r="H73" s="33">
        <v>0.1</v>
      </c>
      <c r="I73" s="82">
        <f t="shared" si="80"/>
        <v>9.1783999999999999</v>
      </c>
      <c r="J73" s="34">
        <v>1.83</v>
      </c>
      <c r="K73" s="35">
        <f t="shared" si="81"/>
        <v>16.796472000000001</v>
      </c>
      <c r="L73" s="36">
        <f t="shared" si="82"/>
        <v>73.03</v>
      </c>
      <c r="M73" s="37">
        <v>1.6E-2</v>
      </c>
      <c r="N73" s="37">
        <f t="shared" si="83"/>
        <v>0.1468544</v>
      </c>
      <c r="O73" s="35">
        <f t="shared" si="84"/>
        <v>10.724776832</v>
      </c>
      <c r="P73" s="38">
        <f t="shared" si="85"/>
        <v>27.521248832000001</v>
      </c>
      <c r="Q73" s="39"/>
    </row>
    <row r="74" spans="1:17" x14ac:dyDescent="0.25">
      <c r="A74" s="122" t="str">
        <f>IF(TRIM(G74)&lt;&gt;"",COUNTA(G$9:$G74)&amp;"","")</f>
        <v>52</v>
      </c>
      <c r="B74" s="123" t="s">
        <v>469</v>
      </c>
      <c r="C74" s="123" t="s">
        <v>470</v>
      </c>
      <c r="D74" s="50"/>
      <c r="E74" s="104" t="s">
        <v>482</v>
      </c>
      <c r="F74" s="124">
        <f>1.043*103*1</f>
        <v>107.42899999999999</v>
      </c>
      <c r="G74" s="106" t="s">
        <v>570</v>
      </c>
      <c r="H74" s="33">
        <v>0.1</v>
      </c>
      <c r="I74" s="82">
        <f t="shared" si="80"/>
        <v>118.17189999999999</v>
      </c>
      <c r="J74" s="34">
        <v>1.83</v>
      </c>
      <c r="K74" s="35">
        <f t="shared" si="81"/>
        <v>216.25457699999998</v>
      </c>
      <c r="L74" s="36">
        <f t="shared" si="82"/>
        <v>73.03</v>
      </c>
      <c r="M74" s="37">
        <v>1.6E-2</v>
      </c>
      <c r="N74" s="37">
        <f t="shared" si="83"/>
        <v>1.8907503999999999</v>
      </c>
      <c r="O74" s="35">
        <f t="shared" si="84"/>
        <v>138.081501712</v>
      </c>
      <c r="P74" s="38">
        <f t="shared" si="85"/>
        <v>354.33607871200002</v>
      </c>
      <c r="Q74" s="39"/>
    </row>
    <row r="75" spans="1:17" ht="15.75" thickBot="1" x14ac:dyDescent="0.3">
      <c r="A75" s="122" t="str">
        <f>IF(TRIM(G75)&lt;&gt;"",COUNTA(G$9:$G75)&amp;"","")</f>
        <v/>
      </c>
      <c r="B75" s="126"/>
      <c r="C75" s="126"/>
      <c r="D75" s="50"/>
      <c r="E75" s="127"/>
      <c r="F75" s="124"/>
      <c r="G75" s="125"/>
      <c r="H75" s="33" t="str">
        <f t="shared" si="44"/>
        <v/>
      </c>
      <c r="I75" s="82" t="str">
        <f t="shared" si="45"/>
        <v/>
      </c>
      <c r="J75" s="34" t="str">
        <f t="shared" si="46"/>
        <v/>
      </c>
      <c r="K75" s="35" t="str">
        <f t="shared" si="47"/>
        <v/>
      </c>
      <c r="L75" s="36" t="str">
        <f t="shared" si="48"/>
        <v/>
      </c>
      <c r="M75" s="37" t="str">
        <f t="shared" si="49"/>
        <v/>
      </c>
      <c r="N75" s="37" t="str">
        <f t="shared" si="50"/>
        <v/>
      </c>
      <c r="O75" s="35" t="str">
        <f t="shared" si="51"/>
        <v/>
      </c>
      <c r="P75" s="38" t="str">
        <f t="shared" si="52"/>
        <v/>
      </c>
      <c r="Q75" s="39"/>
    </row>
    <row r="76" spans="1:17" s="3" customFormat="1" ht="16.5" thickBot="1" x14ac:dyDescent="0.3">
      <c r="A76" s="122" t="str">
        <f>IF(TRIM(G76)&lt;&gt;"",COUNTA(G$9:$G76)&amp;"","")</f>
        <v/>
      </c>
      <c r="B76" s="1"/>
      <c r="C76" s="1"/>
      <c r="D76" s="30"/>
      <c r="E76" s="29"/>
      <c r="F76" s="80"/>
      <c r="G76" s="81"/>
      <c r="H76" s="151" t="s">
        <v>12</v>
      </c>
      <c r="I76" s="152"/>
      <c r="J76" s="68">
        <f>SUM(K$31:K$75)</f>
        <v>67310.401818945204</v>
      </c>
      <c r="K76" s="390" t="s">
        <v>13</v>
      </c>
      <c r="L76" s="391"/>
      <c r="M76" s="69">
        <f>SUM(O$31:O$75)</f>
        <v>44854.207446336593</v>
      </c>
      <c r="N76" s="390" t="s">
        <v>43</v>
      </c>
      <c r="O76" s="391"/>
      <c r="P76" s="70">
        <f>SUM(N$31:N$75)</f>
        <v>614.18879154233355</v>
      </c>
      <c r="Q76" s="71">
        <f>SUM(P$31:P$75)</f>
        <v>112164.6092652818</v>
      </c>
    </row>
    <row r="77" spans="1:17" ht="20.100000000000001" customHeight="1" x14ac:dyDescent="0.25">
      <c r="A77" s="153" t="str">
        <f>IF(TRIM(G77)&lt;&gt;"",COUNTA(G$9:$G77)&amp;"","")</f>
        <v/>
      </c>
      <c r="B77" s="31"/>
      <c r="C77" s="162" t="s">
        <v>192</v>
      </c>
      <c r="D77" s="157" t="s">
        <v>185</v>
      </c>
      <c r="E77" s="154" t="s">
        <v>183</v>
      </c>
      <c r="F77" s="78"/>
      <c r="G77" s="79"/>
      <c r="H77" s="31"/>
      <c r="I77" s="79"/>
      <c r="J77" s="31"/>
      <c r="K77" s="31"/>
      <c r="L77" s="31"/>
      <c r="M77" s="31"/>
      <c r="N77" s="31"/>
      <c r="O77" s="31"/>
      <c r="P77" s="31"/>
      <c r="Q77" s="155"/>
    </row>
    <row r="78" spans="1:17" s="28" customFormat="1" ht="19.149999999999999" customHeight="1" x14ac:dyDescent="0.25">
      <c r="A78" s="122" t="str">
        <f>IF(TRIM(G78)&lt;&gt;"",COUNTA(G$9:$G78)&amp;"","")</f>
        <v/>
      </c>
      <c r="B78" s="49"/>
      <c r="C78" s="49"/>
      <c r="D78" s="50" t="s">
        <v>74</v>
      </c>
      <c r="E78" s="156" t="s">
        <v>73</v>
      </c>
      <c r="F78" s="124"/>
      <c r="G78" s="125"/>
      <c r="H78" s="33" t="str">
        <f t="shared" ref="H78:H83" si="86">IF(F78=0,"",0)</f>
        <v/>
      </c>
      <c r="I78" s="82" t="str">
        <f t="shared" ref="I78:I83" si="87">IF(F78=0,"",F78+(F78*H78))</f>
        <v/>
      </c>
      <c r="J78" s="34" t="str">
        <f t="shared" ref="J78:J83" si="88">IF(F78=0,"",0)</f>
        <v/>
      </c>
      <c r="K78" s="35" t="str">
        <f t="shared" ref="K78:K83" si="89">IF(F78=0,"",J78*I78)</f>
        <v/>
      </c>
      <c r="L78" s="36" t="str">
        <f t="shared" ref="L78:L83" si="90">IF(F78=0,"",L$14)</f>
        <v/>
      </c>
      <c r="M78" s="37" t="str">
        <f t="shared" ref="M78:M83" si="91">IF(F78=0,"",0)</f>
        <v/>
      </c>
      <c r="N78" s="37" t="str">
        <f t="shared" ref="N78:N83" si="92">IF(F78=0,"",M78*I78)</f>
        <v/>
      </c>
      <c r="O78" s="35" t="str">
        <f t="shared" ref="O78:O83" si="93">IF(F78=0,"",N78*L78)</f>
        <v/>
      </c>
      <c r="P78" s="38" t="str">
        <f t="shared" ref="P78:P83" si="94">IF(F78=0,"",K78+O78)</f>
        <v/>
      </c>
      <c r="Q78" s="39"/>
    </row>
    <row r="79" spans="1:17" x14ac:dyDescent="0.25">
      <c r="A79" s="122" t="str">
        <f>IF(TRIM(G79)&lt;&gt;"",COUNTA(G$9:$G79)&amp;"","")</f>
        <v>53</v>
      </c>
      <c r="B79" s="123" t="s">
        <v>471</v>
      </c>
      <c r="C79" s="123" t="s">
        <v>471</v>
      </c>
      <c r="D79" s="50"/>
      <c r="E79" s="111" t="s">
        <v>454</v>
      </c>
      <c r="F79" s="124">
        <f>(10.17+12.17*7+13.5)*28.3</f>
        <v>3080.7380000000003</v>
      </c>
      <c r="G79" s="125" t="s">
        <v>570</v>
      </c>
      <c r="H79" s="33">
        <v>0.1</v>
      </c>
      <c r="I79" s="82">
        <f t="shared" si="87"/>
        <v>3388.8118000000004</v>
      </c>
      <c r="J79" s="34">
        <v>1.83</v>
      </c>
      <c r="K79" s="35">
        <f t="shared" si="89"/>
        <v>6201.5255940000006</v>
      </c>
      <c r="L79" s="36">
        <f t="shared" si="90"/>
        <v>73.03</v>
      </c>
      <c r="M79" s="37">
        <v>1.6E-2</v>
      </c>
      <c r="N79" s="37">
        <f t="shared" si="92"/>
        <v>54.220988800000008</v>
      </c>
      <c r="O79" s="35">
        <f t="shared" si="93"/>
        <v>3959.7588120640007</v>
      </c>
      <c r="P79" s="38">
        <f t="shared" si="94"/>
        <v>10161.284406064002</v>
      </c>
      <c r="Q79" s="39"/>
    </row>
    <row r="80" spans="1:17" s="28" customFormat="1" ht="19.149999999999999" customHeight="1" x14ac:dyDescent="0.25">
      <c r="A80" s="122" t="str">
        <f>IF(TRIM(G80)&lt;&gt;"",COUNTA(G$9:$G80)&amp;"","")</f>
        <v/>
      </c>
      <c r="B80" s="49"/>
      <c r="C80" s="49"/>
      <c r="D80" s="50" t="s">
        <v>76</v>
      </c>
      <c r="E80" s="156" t="s">
        <v>75</v>
      </c>
      <c r="F80" s="124"/>
      <c r="G80" s="125"/>
      <c r="H80" s="33" t="str">
        <f t="shared" si="86"/>
        <v/>
      </c>
      <c r="I80" s="82" t="str">
        <f t="shared" si="87"/>
        <v/>
      </c>
      <c r="J80" s="34" t="str">
        <f t="shared" si="88"/>
        <v/>
      </c>
      <c r="K80" s="35" t="str">
        <f t="shared" si="89"/>
        <v/>
      </c>
      <c r="L80" s="36" t="str">
        <f t="shared" si="90"/>
        <v/>
      </c>
      <c r="M80" s="37" t="str">
        <f t="shared" si="91"/>
        <v/>
      </c>
      <c r="N80" s="37" t="str">
        <f t="shared" si="92"/>
        <v/>
      </c>
      <c r="O80" s="35" t="str">
        <f t="shared" si="93"/>
        <v/>
      </c>
      <c r="P80" s="38" t="str">
        <f t="shared" si="94"/>
        <v/>
      </c>
      <c r="Q80" s="39"/>
    </row>
    <row r="81" spans="1:18" x14ac:dyDescent="0.25">
      <c r="A81" s="122" t="str">
        <f>IF(TRIM(G81)&lt;&gt;"",COUNTA(G$9:$G81)&amp;"","")</f>
        <v>54</v>
      </c>
      <c r="B81" s="123" t="s">
        <v>588</v>
      </c>
      <c r="C81" s="123" t="s">
        <v>588</v>
      </c>
      <c r="D81" s="50"/>
      <c r="E81" s="205" t="s">
        <v>586</v>
      </c>
      <c r="F81" s="124">
        <v>31.75</v>
      </c>
      <c r="G81" s="125" t="s">
        <v>228</v>
      </c>
      <c r="H81" s="33">
        <v>0.1</v>
      </c>
      <c r="I81" s="82">
        <f t="shared" si="87"/>
        <v>34.924999999999997</v>
      </c>
      <c r="J81" s="34">
        <v>9.25</v>
      </c>
      <c r="K81" s="35">
        <f t="shared" si="89"/>
        <v>323.05624999999998</v>
      </c>
      <c r="L81" s="36">
        <f t="shared" si="90"/>
        <v>73.03</v>
      </c>
      <c r="M81" s="37">
        <v>0.21099999999999999</v>
      </c>
      <c r="N81" s="37">
        <f t="shared" si="92"/>
        <v>7.3691749999999994</v>
      </c>
      <c r="O81" s="35">
        <f t="shared" si="93"/>
        <v>538.17085024999994</v>
      </c>
      <c r="P81" s="38">
        <f t="shared" si="94"/>
        <v>861.22710024999992</v>
      </c>
      <c r="Q81" s="39"/>
    </row>
    <row r="82" spans="1:18" x14ac:dyDescent="0.25">
      <c r="A82" s="122" t="str">
        <f>IF(TRIM(G82)&lt;&gt;"",COUNTA(G$9:$G82)&amp;"","")</f>
        <v>55</v>
      </c>
      <c r="B82" s="123" t="s">
        <v>588</v>
      </c>
      <c r="C82" s="123" t="s">
        <v>588</v>
      </c>
      <c r="D82" s="50"/>
      <c r="E82" s="205" t="s">
        <v>587</v>
      </c>
      <c r="F82" s="124">
        <v>15.68</v>
      </c>
      <c r="G82" s="125" t="s">
        <v>228</v>
      </c>
      <c r="H82" s="33">
        <v>0.1</v>
      </c>
      <c r="I82" s="82">
        <f t="shared" si="87"/>
        <v>17.248000000000001</v>
      </c>
      <c r="J82" s="34">
        <v>67.66</v>
      </c>
      <c r="K82" s="35">
        <f t="shared" si="89"/>
        <v>1166.9996800000001</v>
      </c>
      <c r="L82" s="36">
        <f t="shared" si="90"/>
        <v>73.03</v>
      </c>
      <c r="M82" s="37">
        <v>0.2</v>
      </c>
      <c r="N82" s="37">
        <f t="shared" si="92"/>
        <v>3.4496000000000002</v>
      </c>
      <c r="O82" s="35">
        <f t="shared" si="93"/>
        <v>251.92428800000002</v>
      </c>
      <c r="P82" s="38">
        <f t="shared" si="94"/>
        <v>1418.9239680000001</v>
      </c>
      <c r="Q82" s="39"/>
    </row>
    <row r="83" spans="1:18" s="3" customFormat="1" ht="16.5" thickBot="1" x14ac:dyDescent="0.3">
      <c r="A83" s="122" t="str">
        <f>IF(TRIM(G83)&lt;&gt;"",COUNTA(G$9:$G83)&amp;"","")</f>
        <v/>
      </c>
      <c r="B83" s="1"/>
      <c r="C83" s="1"/>
      <c r="D83" s="30"/>
      <c r="E83" s="29"/>
      <c r="F83" s="124"/>
      <c r="G83" s="125"/>
      <c r="H83" s="33" t="str">
        <f t="shared" si="86"/>
        <v/>
      </c>
      <c r="I83" s="82" t="str">
        <f t="shared" si="87"/>
        <v/>
      </c>
      <c r="J83" s="34" t="str">
        <f t="shared" si="88"/>
        <v/>
      </c>
      <c r="K83" s="35" t="str">
        <f t="shared" si="89"/>
        <v/>
      </c>
      <c r="L83" s="36" t="str">
        <f t="shared" si="90"/>
        <v/>
      </c>
      <c r="M83" s="37" t="str">
        <f t="shared" si="91"/>
        <v/>
      </c>
      <c r="N83" s="37" t="str">
        <f t="shared" si="92"/>
        <v/>
      </c>
      <c r="O83" s="35" t="str">
        <f t="shared" si="93"/>
        <v/>
      </c>
      <c r="P83" s="38" t="str">
        <f t="shared" si="94"/>
        <v/>
      </c>
      <c r="Q83" s="39"/>
    </row>
    <row r="84" spans="1:18" s="3" customFormat="1" ht="16.5" thickBot="1" x14ac:dyDescent="0.3">
      <c r="A84" s="122" t="str">
        <f>IF(TRIM(G84)&lt;&gt;"",COUNTA(G$9:$G84)&amp;"","")</f>
        <v/>
      </c>
      <c r="B84" s="1"/>
      <c r="C84" s="1"/>
      <c r="D84" s="30"/>
      <c r="E84" s="29"/>
      <c r="F84" s="80"/>
      <c r="G84" s="81"/>
      <c r="H84" s="151" t="s">
        <v>12</v>
      </c>
      <c r="I84" s="152"/>
      <c r="J84" s="68">
        <f>SUM(K$78:K$83)</f>
        <v>7691.5815240000002</v>
      </c>
      <c r="K84" s="390" t="s">
        <v>13</v>
      </c>
      <c r="L84" s="391"/>
      <c r="M84" s="68">
        <f>SUM(O$78:O$83)</f>
        <v>4749.8539503140009</v>
      </c>
      <c r="N84" s="390" t="s">
        <v>43</v>
      </c>
      <c r="O84" s="391"/>
      <c r="P84" s="70">
        <f>SUM(N$78:N$83)</f>
        <v>65.039763800000003</v>
      </c>
      <c r="Q84" s="71">
        <f>SUM(P$78:P$83)</f>
        <v>12441.435474314003</v>
      </c>
    </row>
    <row r="85" spans="1:18" ht="20.100000000000001" customHeight="1" x14ac:dyDescent="0.25">
      <c r="A85" s="153" t="str">
        <f>IF(TRIM(G85)&lt;&gt;"",COUNTA(G$9:$G85)&amp;"","")</f>
        <v/>
      </c>
      <c r="B85" s="31"/>
      <c r="C85" s="162" t="s">
        <v>192</v>
      </c>
      <c r="D85" s="157" t="s">
        <v>184</v>
      </c>
      <c r="E85" s="154" t="s">
        <v>59</v>
      </c>
      <c r="F85" s="78"/>
      <c r="G85" s="79"/>
      <c r="H85" s="31" t="str">
        <f t="shared" ref="H85:H168" si="95">IF(F85=0,"",0)</f>
        <v/>
      </c>
      <c r="I85" s="79" t="str">
        <f t="shared" ref="I85:I168" si="96">IF(F85=0,"",F85+(F85*H85))</f>
        <v/>
      </c>
      <c r="J85" s="31" t="str">
        <f t="shared" ref="J85:J168" si="97">IF(F85=0,"",0)</f>
        <v/>
      </c>
      <c r="K85" s="31" t="str">
        <f t="shared" ref="K85:K168" si="98">IF(F85=0,"",J85*I85)</f>
        <v/>
      </c>
      <c r="L85" s="31" t="str">
        <f>IF(F85=0,"",#REF!)</f>
        <v/>
      </c>
      <c r="M85" s="31" t="str">
        <f t="shared" ref="M85:M168" si="99">IF(F85=0,"",0)</f>
        <v/>
      </c>
      <c r="N85" s="31" t="str">
        <f t="shared" ref="N85:N168" si="100">IF(F85=0,"",M85*I85)</f>
        <v/>
      </c>
      <c r="O85" s="31" t="str">
        <f t="shared" ref="O85:O168" si="101">IF(F85=0,"",N85*L85)</f>
        <v/>
      </c>
      <c r="P85" s="31" t="str">
        <f t="shared" ref="P85:P168" si="102">IF(F85=0,"",K85+O85)</f>
        <v/>
      </c>
      <c r="Q85" s="155"/>
    </row>
    <row r="86" spans="1:18" s="28" customFormat="1" ht="19.149999999999999" customHeight="1" x14ac:dyDescent="0.25">
      <c r="A86" s="122" t="str">
        <f>IF(TRIM(G86)&lt;&gt;"",COUNTA(G$9:$G86)&amp;"","")</f>
        <v/>
      </c>
      <c r="B86" s="49"/>
      <c r="C86" s="49"/>
      <c r="D86" s="50" t="s">
        <v>78</v>
      </c>
      <c r="E86" s="156" t="s">
        <v>77</v>
      </c>
      <c r="F86" s="124"/>
      <c r="G86" s="125"/>
      <c r="H86" s="33" t="str">
        <f t="shared" si="95"/>
        <v/>
      </c>
      <c r="I86" s="82" t="str">
        <f t="shared" si="96"/>
        <v/>
      </c>
      <c r="J86" s="34" t="str">
        <f t="shared" si="97"/>
        <v/>
      </c>
      <c r="K86" s="35" t="str">
        <f t="shared" si="98"/>
        <v/>
      </c>
      <c r="L86" s="36" t="str">
        <f t="shared" ref="L86:L168" si="103">IF(F86=0,"",L$14)</f>
        <v/>
      </c>
      <c r="M86" s="37" t="str">
        <f t="shared" si="99"/>
        <v/>
      </c>
      <c r="N86" s="37" t="str">
        <f t="shared" si="100"/>
        <v/>
      </c>
      <c r="O86" s="35" t="str">
        <f t="shared" si="101"/>
        <v/>
      </c>
      <c r="P86" s="38" t="str">
        <f t="shared" si="102"/>
        <v/>
      </c>
      <c r="Q86" s="39"/>
    </row>
    <row r="87" spans="1:18" x14ac:dyDescent="0.25">
      <c r="A87" s="122" t="str">
        <f>IF(TRIM(G87)&lt;&gt;"",COUNTA(G$9:$G87)&amp;"","")</f>
        <v/>
      </c>
      <c r="B87" s="123"/>
      <c r="C87" s="123"/>
      <c r="D87" s="50"/>
      <c r="E87" s="198" t="s">
        <v>415</v>
      </c>
      <c r="F87" s="124"/>
      <c r="G87" s="125"/>
      <c r="H87" s="33" t="str">
        <f t="shared" ref="H87" si="104">IF(F87=0,"",0)</f>
        <v/>
      </c>
      <c r="I87" s="82" t="str">
        <f t="shared" ref="I87:I89" si="105">IF(F87=0,"",F87+(F87*H87))</f>
        <v/>
      </c>
      <c r="J87" s="34" t="str">
        <f t="shared" ref="J87" si="106">IF(F87=0,"",0)</f>
        <v/>
      </c>
      <c r="K87" s="35" t="str">
        <f t="shared" ref="K87:K89" si="107">IF(F87=0,"",J87*I87)</f>
        <v/>
      </c>
      <c r="L87" s="36" t="str">
        <f t="shared" ref="L87:L89" si="108">IF(F87=0,"",L$14)</f>
        <v/>
      </c>
      <c r="M87" s="37" t="str">
        <f t="shared" ref="M87" si="109">IF(F87=0,"",0)</f>
        <v/>
      </c>
      <c r="N87" s="37" t="str">
        <f t="shared" ref="N87:N89" si="110">IF(F87=0,"",M87*I87)</f>
        <v/>
      </c>
      <c r="O87" s="35" t="str">
        <f t="shared" ref="O87:O89" si="111">IF(F87=0,"",N87*L87)</f>
        <v/>
      </c>
      <c r="P87" s="38" t="str">
        <f t="shared" ref="P87:P89" si="112">IF(F87=0,"",K87+O87)</f>
        <v/>
      </c>
      <c r="Q87" s="39"/>
    </row>
    <row r="88" spans="1:18" x14ac:dyDescent="0.25">
      <c r="A88" s="122" t="str">
        <f>IF(TRIM(G88)&lt;&gt;"",COUNTA(G$9:$G88)&amp;"","")</f>
        <v>56</v>
      </c>
      <c r="B88" s="123" t="s">
        <v>471</v>
      </c>
      <c r="C88" s="123" t="s">
        <v>471</v>
      </c>
      <c r="D88" s="50"/>
      <c r="E88" s="89" t="s">
        <v>416</v>
      </c>
      <c r="F88" s="124">
        <v>44.2</v>
      </c>
      <c r="G88" s="125" t="s">
        <v>228</v>
      </c>
      <c r="H88" s="33">
        <v>0.1</v>
      </c>
      <c r="I88" s="82">
        <f t="shared" si="105"/>
        <v>48.620000000000005</v>
      </c>
      <c r="J88" s="34">
        <v>7.85</v>
      </c>
      <c r="K88" s="35">
        <f t="shared" si="107"/>
        <v>381.66700000000003</v>
      </c>
      <c r="L88" s="36">
        <f t="shared" si="108"/>
        <v>73.03</v>
      </c>
      <c r="M88" s="37">
        <v>7.3999999999999996E-2</v>
      </c>
      <c r="N88" s="37">
        <f t="shared" si="110"/>
        <v>3.59788</v>
      </c>
      <c r="O88" s="35">
        <f t="shared" si="111"/>
        <v>262.75317640000003</v>
      </c>
      <c r="P88" s="38">
        <f t="shared" si="112"/>
        <v>644.42017640000006</v>
      </c>
      <c r="Q88" s="39"/>
      <c r="R88" s="84">
        <f>6.68/0.074</f>
        <v>90.270270270270274</v>
      </c>
    </row>
    <row r="89" spans="1:18" x14ac:dyDescent="0.25">
      <c r="A89" s="122" t="str">
        <f>IF(TRIM(G89)&lt;&gt;"",COUNTA(G$9:$G89)&amp;"","")</f>
        <v>57</v>
      </c>
      <c r="B89" s="123" t="s">
        <v>471</v>
      </c>
      <c r="C89" s="123" t="s">
        <v>471</v>
      </c>
      <c r="D89" s="50"/>
      <c r="E89" s="89" t="s">
        <v>417</v>
      </c>
      <c r="F89" s="124">
        <v>26.56</v>
      </c>
      <c r="G89" s="125" t="s">
        <v>228</v>
      </c>
      <c r="H89" s="33">
        <v>0.1</v>
      </c>
      <c r="I89" s="82">
        <f t="shared" si="105"/>
        <v>29.215999999999998</v>
      </c>
      <c r="J89" s="34">
        <v>11.23</v>
      </c>
      <c r="K89" s="35">
        <f t="shared" si="107"/>
        <v>328.09567999999996</v>
      </c>
      <c r="L89" s="36">
        <f t="shared" si="108"/>
        <v>73.03</v>
      </c>
      <c r="M89" s="37">
        <v>7.5999999999999998E-2</v>
      </c>
      <c r="N89" s="37">
        <f t="shared" si="110"/>
        <v>2.2204159999999997</v>
      </c>
      <c r="O89" s="35">
        <f t="shared" si="111"/>
        <v>162.15698047999999</v>
      </c>
      <c r="P89" s="38">
        <f t="shared" si="112"/>
        <v>490.25266047999992</v>
      </c>
      <c r="Q89" s="39"/>
    </row>
    <row r="90" spans="1:18" x14ac:dyDescent="0.25">
      <c r="A90" s="122" t="str">
        <f>IF(TRIM(G90)&lt;&gt;"",COUNTA(G$9:$G90)&amp;"","")</f>
        <v>58</v>
      </c>
      <c r="B90" s="123" t="s">
        <v>471</v>
      </c>
      <c r="C90" s="123" t="s">
        <v>471</v>
      </c>
      <c r="D90" s="50"/>
      <c r="E90" s="89" t="s">
        <v>418</v>
      </c>
      <c r="F90" s="124">
        <v>37.67</v>
      </c>
      <c r="G90" s="125" t="s">
        <v>228</v>
      </c>
      <c r="H90" s="33">
        <v>0.1</v>
      </c>
      <c r="I90" s="82">
        <f t="shared" si="96"/>
        <v>41.437000000000005</v>
      </c>
      <c r="J90" s="34">
        <v>14.46</v>
      </c>
      <c r="K90" s="35">
        <f t="shared" si="98"/>
        <v>599.17902000000015</v>
      </c>
      <c r="L90" s="36">
        <f t="shared" si="103"/>
        <v>73.03</v>
      </c>
      <c r="M90" s="37">
        <v>0.08</v>
      </c>
      <c r="N90" s="37">
        <f t="shared" si="100"/>
        <v>3.3149600000000006</v>
      </c>
      <c r="O90" s="35">
        <f t="shared" si="101"/>
        <v>242.09152880000005</v>
      </c>
      <c r="P90" s="38">
        <f t="shared" si="102"/>
        <v>841.27054880000014</v>
      </c>
      <c r="Q90" s="39"/>
    </row>
    <row r="91" spans="1:18" x14ac:dyDescent="0.25">
      <c r="A91" s="122" t="str">
        <f>IF(TRIM(G91)&lt;&gt;"",COUNTA(G$9:$G91)&amp;"","")</f>
        <v>59</v>
      </c>
      <c r="B91" s="123" t="s">
        <v>471</v>
      </c>
      <c r="C91" s="123" t="s">
        <v>471</v>
      </c>
      <c r="D91" s="50"/>
      <c r="E91" s="89" t="s">
        <v>419</v>
      </c>
      <c r="F91" s="124">
        <v>22.95</v>
      </c>
      <c r="G91" s="125" t="s">
        <v>228</v>
      </c>
      <c r="H91" s="33">
        <v>0.1</v>
      </c>
      <c r="I91" s="82">
        <f t="shared" si="96"/>
        <v>25.244999999999997</v>
      </c>
      <c r="J91" s="34">
        <f>14.46/60*72</f>
        <v>17.352</v>
      </c>
      <c r="K91" s="35">
        <f t="shared" si="98"/>
        <v>438.05123999999995</v>
      </c>
      <c r="L91" s="36">
        <f t="shared" si="103"/>
        <v>73.03</v>
      </c>
      <c r="M91" s="37">
        <f>0.08/60*72</f>
        <v>9.6000000000000002E-2</v>
      </c>
      <c r="N91" s="37">
        <f t="shared" si="100"/>
        <v>2.4235199999999999</v>
      </c>
      <c r="O91" s="35">
        <f t="shared" si="101"/>
        <v>176.9896656</v>
      </c>
      <c r="P91" s="38">
        <f t="shared" si="102"/>
        <v>615.04090559999997</v>
      </c>
      <c r="Q91" s="39"/>
    </row>
    <row r="92" spans="1:18" x14ac:dyDescent="0.25">
      <c r="A92" s="122" t="str">
        <f>IF(TRIM(G92)&lt;&gt;"",COUNTA(G$9:$G92)&amp;"","")</f>
        <v>60</v>
      </c>
      <c r="B92" s="123" t="s">
        <v>471</v>
      </c>
      <c r="C92" s="123" t="s">
        <v>471</v>
      </c>
      <c r="D92" s="50"/>
      <c r="E92" s="89" t="s">
        <v>420</v>
      </c>
      <c r="F92" s="124">
        <v>39</v>
      </c>
      <c r="G92" s="125" t="s">
        <v>228</v>
      </c>
      <c r="H92" s="33">
        <v>0.1</v>
      </c>
      <c r="I92" s="82">
        <f t="shared" si="96"/>
        <v>42.9</v>
      </c>
      <c r="J92" s="34">
        <f>14.46/60*84</f>
        <v>20.244000000000003</v>
      </c>
      <c r="K92" s="35">
        <f t="shared" si="98"/>
        <v>868.46760000000006</v>
      </c>
      <c r="L92" s="36">
        <f t="shared" si="103"/>
        <v>73.03</v>
      </c>
      <c r="M92" s="37">
        <f>0.08/60*84</f>
        <v>0.112</v>
      </c>
      <c r="N92" s="37">
        <f t="shared" si="100"/>
        <v>4.8048000000000002</v>
      </c>
      <c r="O92" s="35">
        <f t="shared" si="101"/>
        <v>350.894544</v>
      </c>
      <c r="P92" s="38">
        <f t="shared" si="102"/>
        <v>1219.3621440000002</v>
      </c>
      <c r="Q92" s="39"/>
    </row>
    <row r="93" spans="1:18" x14ac:dyDescent="0.25">
      <c r="A93" s="122" t="str">
        <f>IF(TRIM(G93)&lt;&gt;"",COUNTA(G$9:$G93)&amp;"","")</f>
        <v>61</v>
      </c>
      <c r="B93" s="123" t="s">
        <v>471</v>
      </c>
      <c r="C93" s="123" t="s">
        <v>471</v>
      </c>
      <c r="D93" s="50"/>
      <c r="E93" s="89" t="s">
        <v>421</v>
      </c>
      <c r="F93" s="124">
        <v>16.27</v>
      </c>
      <c r="G93" s="125" t="s">
        <v>228</v>
      </c>
      <c r="H93" s="33">
        <v>0.1</v>
      </c>
      <c r="I93" s="82">
        <f t="shared" ref="I93:I95" si="113">IF(F93=0,"",F93+(F93*H93))</f>
        <v>17.896999999999998</v>
      </c>
      <c r="J93" s="34">
        <f>(35/49)*(5.25*16)</f>
        <v>60</v>
      </c>
      <c r="K93" s="35">
        <f t="shared" ref="K93:K95" si="114">IF(F93=0,"",J93*I93)</f>
        <v>1073.82</v>
      </c>
      <c r="L93" s="36">
        <f t="shared" ref="L93:L95" si="115">IF(F93=0,"",L$14)</f>
        <v>73.03</v>
      </c>
      <c r="M93" s="37">
        <v>0.13300000000000001</v>
      </c>
      <c r="N93" s="37">
        <f t="shared" ref="N93:N95" si="116">IF(F93=0,"",M93*I93)</f>
        <v>2.3803009999999998</v>
      </c>
      <c r="O93" s="35">
        <f t="shared" ref="O93:O95" si="117">IF(F93=0,"",N93*L93)</f>
        <v>173.83338203</v>
      </c>
      <c r="P93" s="38">
        <f t="shared" ref="P93:P95" si="118">IF(F93=0,"",K93+O93)</f>
        <v>1247.6533820299999</v>
      </c>
      <c r="Q93" s="39"/>
    </row>
    <row r="94" spans="1:18" x14ac:dyDescent="0.25">
      <c r="A94" s="122" t="str">
        <f>IF(TRIM(G94)&lt;&gt;"",COUNTA(G$9:$G94)&amp;"","")</f>
        <v>62</v>
      </c>
      <c r="B94" s="123" t="s">
        <v>471</v>
      </c>
      <c r="C94" s="123" t="s">
        <v>471</v>
      </c>
      <c r="D94" s="50"/>
      <c r="E94" s="89" t="s">
        <v>422</v>
      </c>
      <c r="F94" s="124">
        <v>3</v>
      </c>
      <c r="G94" s="125" t="s">
        <v>250</v>
      </c>
      <c r="H94" s="33">
        <f t="shared" ref="H94:H95" si="119">IF(F94=0,"",0)</f>
        <v>0</v>
      </c>
      <c r="I94" s="82">
        <f t="shared" si="113"/>
        <v>3</v>
      </c>
      <c r="J94" s="34">
        <f t="shared" ref="J94:J95" si="120">IF(F94=0,"",0)</f>
        <v>0</v>
      </c>
      <c r="K94" s="35">
        <f t="shared" si="114"/>
        <v>0</v>
      </c>
      <c r="L94" s="36">
        <f t="shared" si="115"/>
        <v>73.03</v>
      </c>
      <c r="M94" s="37">
        <f t="shared" ref="M94:M95" si="121">IF(F94=0,"",0)</f>
        <v>0</v>
      </c>
      <c r="N94" s="37">
        <f t="shared" si="116"/>
        <v>0</v>
      </c>
      <c r="O94" s="35">
        <f t="shared" si="117"/>
        <v>0</v>
      </c>
      <c r="P94" s="38">
        <f t="shared" si="118"/>
        <v>0</v>
      </c>
      <c r="Q94" s="39"/>
    </row>
    <row r="95" spans="1:18" x14ac:dyDescent="0.25">
      <c r="A95" s="122" t="str">
        <f>IF(TRIM(G95)&lt;&gt;"",COUNTA(G$9:$G95)&amp;"","")</f>
        <v/>
      </c>
      <c r="B95" s="123"/>
      <c r="C95" s="123"/>
      <c r="D95" s="50"/>
      <c r="E95" s="198" t="s">
        <v>437</v>
      </c>
      <c r="F95" s="124"/>
      <c r="G95" s="125"/>
      <c r="H95" s="33" t="str">
        <f t="shared" si="119"/>
        <v/>
      </c>
      <c r="I95" s="82" t="str">
        <f t="shared" si="113"/>
        <v/>
      </c>
      <c r="J95" s="34" t="str">
        <f t="shared" si="120"/>
        <v/>
      </c>
      <c r="K95" s="35" t="str">
        <f t="shared" si="114"/>
        <v/>
      </c>
      <c r="L95" s="36" t="str">
        <f t="shared" si="115"/>
        <v/>
      </c>
      <c r="M95" s="37" t="str">
        <f t="shared" si="121"/>
        <v/>
      </c>
      <c r="N95" s="37" t="str">
        <f t="shared" si="116"/>
        <v/>
      </c>
      <c r="O95" s="35" t="str">
        <f t="shared" si="117"/>
        <v/>
      </c>
      <c r="P95" s="38" t="str">
        <f t="shared" si="118"/>
        <v/>
      </c>
      <c r="Q95" s="39"/>
    </row>
    <row r="96" spans="1:18" x14ac:dyDescent="0.25">
      <c r="A96" s="122" t="str">
        <f>IF(TRIM(G96)&lt;&gt;"",COUNTA(G$9:$G96)&amp;"","")</f>
        <v>63</v>
      </c>
      <c r="B96" s="123" t="s">
        <v>471</v>
      </c>
      <c r="C96" s="123" t="s">
        <v>471</v>
      </c>
      <c r="D96" s="50"/>
      <c r="E96" s="89" t="s">
        <v>424</v>
      </c>
      <c r="F96" s="124">
        <v>1</v>
      </c>
      <c r="G96" s="125" t="s">
        <v>250</v>
      </c>
      <c r="H96" s="33">
        <f t="shared" si="95"/>
        <v>0</v>
      </c>
      <c r="I96" s="82">
        <f t="shared" si="96"/>
        <v>1</v>
      </c>
      <c r="J96" s="34">
        <f>3.83*10</f>
        <v>38.299999999999997</v>
      </c>
      <c r="K96" s="35">
        <f t="shared" si="98"/>
        <v>38.299999999999997</v>
      </c>
      <c r="L96" s="36">
        <f t="shared" si="103"/>
        <v>73.03</v>
      </c>
      <c r="M96" s="37">
        <f>0.036*10</f>
        <v>0.36</v>
      </c>
      <c r="N96" s="37">
        <f t="shared" si="100"/>
        <v>0.36</v>
      </c>
      <c r="O96" s="35">
        <f t="shared" si="101"/>
        <v>26.290800000000001</v>
      </c>
      <c r="P96" s="38">
        <f t="shared" si="102"/>
        <v>64.590800000000002</v>
      </c>
      <c r="Q96" s="39"/>
    </row>
    <row r="97" spans="1:17" x14ac:dyDescent="0.25">
      <c r="A97" s="122" t="str">
        <f>IF(TRIM(G97)&lt;&gt;"",COUNTA(G$9:$G97)&amp;"","")</f>
        <v>64</v>
      </c>
      <c r="B97" s="123" t="s">
        <v>471</v>
      </c>
      <c r="C97" s="123" t="s">
        <v>471</v>
      </c>
      <c r="D97" s="50"/>
      <c r="E97" s="89" t="s">
        <v>425</v>
      </c>
      <c r="F97" s="124">
        <v>2</v>
      </c>
      <c r="G97" s="125" t="s">
        <v>250</v>
      </c>
      <c r="H97" s="33">
        <f t="shared" si="95"/>
        <v>0</v>
      </c>
      <c r="I97" s="82">
        <f t="shared" si="96"/>
        <v>2</v>
      </c>
      <c r="J97" s="34">
        <f>3.83*12.167</f>
        <v>46.599609999999998</v>
      </c>
      <c r="K97" s="35">
        <f t="shared" si="98"/>
        <v>93.199219999999997</v>
      </c>
      <c r="L97" s="36">
        <f t="shared" si="103"/>
        <v>73.03</v>
      </c>
      <c r="M97" s="37">
        <f>0.036*12.167</f>
        <v>0.43801199999999996</v>
      </c>
      <c r="N97" s="37">
        <f t="shared" si="100"/>
        <v>0.87602399999999991</v>
      </c>
      <c r="O97" s="35">
        <f t="shared" si="101"/>
        <v>63.976032719999992</v>
      </c>
      <c r="P97" s="38">
        <f t="shared" si="102"/>
        <v>157.17525272</v>
      </c>
      <c r="Q97" s="39"/>
    </row>
    <row r="98" spans="1:17" x14ac:dyDescent="0.25">
      <c r="A98" s="122" t="str">
        <f>IF(TRIM(G98)&lt;&gt;"",COUNTA(G$9:$G98)&amp;"","")</f>
        <v>65</v>
      </c>
      <c r="B98" s="123" t="s">
        <v>471</v>
      </c>
      <c r="C98" s="123" t="s">
        <v>471</v>
      </c>
      <c r="D98" s="50"/>
      <c r="E98" s="89" t="s">
        <v>426</v>
      </c>
      <c r="F98" s="124">
        <v>3</v>
      </c>
      <c r="G98" s="125" t="s">
        <v>250</v>
      </c>
      <c r="H98" s="33">
        <f t="shared" si="95"/>
        <v>0</v>
      </c>
      <c r="I98" s="82">
        <f t="shared" si="96"/>
        <v>3</v>
      </c>
      <c r="J98" s="34">
        <v>7.85</v>
      </c>
      <c r="K98" s="35">
        <f t="shared" si="98"/>
        <v>23.549999999999997</v>
      </c>
      <c r="L98" s="36">
        <f t="shared" si="103"/>
        <v>73.03</v>
      </c>
      <c r="M98" s="37">
        <v>7.3999999999999996E-2</v>
      </c>
      <c r="N98" s="37">
        <f t="shared" si="100"/>
        <v>0.22199999999999998</v>
      </c>
      <c r="O98" s="35">
        <f t="shared" si="101"/>
        <v>16.21266</v>
      </c>
      <c r="P98" s="38">
        <f t="shared" si="102"/>
        <v>39.762659999999997</v>
      </c>
      <c r="Q98" s="39"/>
    </row>
    <row r="99" spans="1:17" x14ac:dyDescent="0.25">
      <c r="A99" s="122" t="str">
        <f>IF(TRIM(G99)&lt;&gt;"",COUNTA(G$9:$G99)&amp;"","")</f>
        <v>66</v>
      </c>
      <c r="B99" s="123" t="s">
        <v>471</v>
      </c>
      <c r="C99" s="123" t="s">
        <v>471</v>
      </c>
      <c r="D99" s="50"/>
      <c r="E99" s="89" t="s">
        <v>427</v>
      </c>
      <c r="F99" s="124">
        <v>5</v>
      </c>
      <c r="G99" s="125" t="s">
        <v>250</v>
      </c>
      <c r="H99" s="33">
        <f t="shared" ref="H99:H101" si="122">IF(F99=0,"",0)</f>
        <v>0</v>
      </c>
      <c r="I99" s="82">
        <f t="shared" ref="I99:I101" si="123">IF(F99=0,"",F99+(F99*H99))</f>
        <v>5</v>
      </c>
      <c r="J99" s="34">
        <v>7.85</v>
      </c>
      <c r="K99" s="35">
        <f t="shared" ref="K99:K101" si="124">IF(F99=0,"",J99*I99)</f>
        <v>39.25</v>
      </c>
      <c r="L99" s="36">
        <f t="shared" ref="L99:L101" si="125">IF(F99=0,"",L$14)</f>
        <v>73.03</v>
      </c>
      <c r="M99" s="37">
        <v>7.3999999999999996E-2</v>
      </c>
      <c r="N99" s="37">
        <f t="shared" ref="N99:N101" si="126">IF(F99=0,"",M99*I99)</f>
        <v>0.37</v>
      </c>
      <c r="O99" s="35">
        <f t="shared" ref="O99:O101" si="127">IF(F99=0,"",N99*L99)</f>
        <v>27.021100000000001</v>
      </c>
      <c r="P99" s="38">
        <f t="shared" ref="P99:P101" si="128">IF(F99=0,"",K99+O99)</f>
        <v>66.271100000000004</v>
      </c>
      <c r="Q99" s="39"/>
    </row>
    <row r="100" spans="1:17" x14ac:dyDescent="0.25">
      <c r="A100" s="122" t="str">
        <f>IF(TRIM(G100)&lt;&gt;"",COUNTA(G$9:$G100)&amp;"","")</f>
        <v>67</v>
      </c>
      <c r="B100" s="123" t="s">
        <v>471</v>
      </c>
      <c r="C100" s="123" t="s">
        <v>471</v>
      </c>
      <c r="D100" s="50"/>
      <c r="E100" s="89" t="s">
        <v>428</v>
      </c>
      <c r="F100" s="124">
        <v>4</v>
      </c>
      <c r="G100" s="125" t="s">
        <v>250</v>
      </c>
      <c r="H100" s="33">
        <f t="shared" si="122"/>
        <v>0</v>
      </c>
      <c r="I100" s="82">
        <f t="shared" si="123"/>
        <v>4</v>
      </c>
      <c r="J100" s="34">
        <v>7.85</v>
      </c>
      <c r="K100" s="35">
        <f t="shared" si="124"/>
        <v>31.4</v>
      </c>
      <c r="L100" s="36">
        <f t="shared" si="125"/>
        <v>73.03</v>
      </c>
      <c r="M100" s="37">
        <v>7.3999999999999996E-2</v>
      </c>
      <c r="N100" s="37">
        <f t="shared" si="126"/>
        <v>0.29599999999999999</v>
      </c>
      <c r="O100" s="35">
        <f t="shared" si="127"/>
        <v>21.616879999999998</v>
      </c>
      <c r="P100" s="38">
        <f t="shared" si="128"/>
        <v>53.01688</v>
      </c>
      <c r="Q100" s="39"/>
    </row>
    <row r="101" spans="1:17" x14ac:dyDescent="0.25">
      <c r="A101" s="122" t="str">
        <f>IF(TRIM(G101)&lt;&gt;"",COUNTA(G$9:$G101)&amp;"","")</f>
        <v>68</v>
      </c>
      <c r="B101" s="123" t="s">
        <v>471</v>
      </c>
      <c r="C101" s="123" t="s">
        <v>471</v>
      </c>
      <c r="D101" s="50"/>
      <c r="E101" s="89" t="s">
        <v>429</v>
      </c>
      <c r="F101" s="124">
        <v>2</v>
      </c>
      <c r="G101" s="125" t="s">
        <v>250</v>
      </c>
      <c r="H101" s="33">
        <f t="shared" si="122"/>
        <v>0</v>
      </c>
      <c r="I101" s="82">
        <f t="shared" si="123"/>
        <v>2</v>
      </c>
      <c r="J101" s="34">
        <v>7.85</v>
      </c>
      <c r="K101" s="35">
        <f t="shared" si="124"/>
        <v>15.7</v>
      </c>
      <c r="L101" s="36">
        <f t="shared" si="125"/>
        <v>73.03</v>
      </c>
      <c r="M101" s="37">
        <v>7.3999999999999996E-2</v>
      </c>
      <c r="N101" s="37">
        <f t="shared" si="126"/>
        <v>0.14799999999999999</v>
      </c>
      <c r="O101" s="35">
        <f t="shared" si="127"/>
        <v>10.808439999999999</v>
      </c>
      <c r="P101" s="38">
        <f t="shared" si="128"/>
        <v>26.50844</v>
      </c>
      <c r="Q101" s="39"/>
    </row>
    <row r="102" spans="1:17" x14ac:dyDescent="0.25">
      <c r="A102" s="122" t="str">
        <f>IF(TRIM(G102)&lt;&gt;"",COUNTA(G$9:$G102)&amp;"","")</f>
        <v>69</v>
      </c>
      <c r="B102" s="123" t="s">
        <v>471</v>
      </c>
      <c r="C102" s="123" t="s">
        <v>471</v>
      </c>
      <c r="D102" s="50"/>
      <c r="E102" s="89" t="s">
        <v>430</v>
      </c>
      <c r="F102" s="124">
        <v>2</v>
      </c>
      <c r="G102" s="125" t="s">
        <v>250</v>
      </c>
      <c r="H102" s="33">
        <f t="shared" si="95"/>
        <v>0</v>
      </c>
      <c r="I102" s="82">
        <f t="shared" si="96"/>
        <v>2</v>
      </c>
      <c r="J102" s="34">
        <v>7.85</v>
      </c>
      <c r="K102" s="35">
        <f t="shared" si="98"/>
        <v>15.7</v>
      </c>
      <c r="L102" s="36">
        <f t="shared" si="103"/>
        <v>73.03</v>
      </c>
      <c r="M102" s="37">
        <v>7.3999999999999996E-2</v>
      </c>
      <c r="N102" s="37">
        <f t="shared" si="100"/>
        <v>0.14799999999999999</v>
      </c>
      <c r="O102" s="35">
        <f t="shared" si="101"/>
        <v>10.808439999999999</v>
      </c>
      <c r="P102" s="38">
        <f t="shared" si="102"/>
        <v>26.50844</v>
      </c>
      <c r="Q102" s="39"/>
    </row>
    <row r="103" spans="1:17" x14ac:dyDescent="0.25">
      <c r="A103" s="122" t="str">
        <f>IF(TRIM(G103)&lt;&gt;"",COUNTA(G$9:$G103)&amp;"","")</f>
        <v>70</v>
      </c>
      <c r="B103" s="123" t="s">
        <v>471</v>
      </c>
      <c r="C103" s="123" t="s">
        <v>471</v>
      </c>
      <c r="D103" s="50"/>
      <c r="E103" s="89" t="s">
        <v>431</v>
      </c>
      <c r="F103" s="124">
        <v>1</v>
      </c>
      <c r="G103" s="125" t="s">
        <v>250</v>
      </c>
      <c r="H103" s="33">
        <f t="shared" si="95"/>
        <v>0</v>
      </c>
      <c r="I103" s="82">
        <f t="shared" si="96"/>
        <v>1</v>
      </c>
      <c r="J103" s="34">
        <v>7.85</v>
      </c>
      <c r="K103" s="35">
        <f t="shared" si="98"/>
        <v>7.85</v>
      </c>
      <c r="L103" s="36">
        <f t="shared" si="103"/>
        <v>73.03</v>
      </c>
      <c r="M103" s="37">
        <v>7.3999999999999996E-2</v>
      </c>
      <c r="N103" s="37">
        <f t="shared" si="100"/>
        <v>7.3999999999999996E-2</v>
      </c>
      <c r="O103" s="35">
        <f t="shared" si="101"/>
        <v>5.4042199999999996</v>
      </c>
      <c r="P103" s="38">
        <f t="shared" si="102"/>
        <v>13.25422</v>
      </c>
      <c r="Q103" s="39"/>
    </row>
    <row r="104" spans="1:17" x14ac:dyDescent="0.25">
      <c r="A104" s="122" t="str">
        <f>IF(TRIM(G104)&lt;&gt;"",COUNTA(G$9:$G104)&amp;"","")</f>
        <v>71</v>
      </c>
      <c r="B104" s="123" t="s">
        <v>471</v>
      </c>
      <c r="C104" s="123" t="s">
        <v>471</v>
      </c>
      <c r="D104" s="50"/>
      <c r="E104" s="89" t="s">
        <v>432</v>
      </c>
      <c r="F104" s="124">
        <v>5</v>
      </c>
      <c r="G104" s="125" t="s">
        <v>250</v>
      </c>
      <c r="H104" s="33">
        <f t="shared" si="95"/>
        <v>0</v>
      </c>
      <c r="I104" s="82">
        <f t="shared" si="96"/>
        <v>5</v>
      </c>
      <c r="J104" s="34">
        <f>11.23*10.167</f>
        <v>114.17541</v>
      </c>
      <c r="K104" s="35">
        <f t="shared" si="98"/>
        <v>570.87705000000005</v>
      </c>
      <c r="L104" s="36">
        <f t="shared" si="103"/>
        <v>73.03</v>
      </c>
      <c r="M104" s="37">
        <f>0.076*10.167</f>
        <v>0.77269199999999993</v>
      </c>
      <c r="N104" s="37">
        <f t="shared" si="100"/>
        <v>3.8634599999999999</v>
      </c>
      <c r="O104" s="35">
        <f t="shared" si="101"/>
        <v>282.14848380000001</v>
      </c>
      <c r="P104" s="38">
        <f t="shared" si="102"/>
        <v>853.02553380000006</v>
      </c>
      <c r="Q104" s="39"/>
    </row>
    <row r="105" spans="1:17" x14ac:dyDescent="0.25">
      <c r="A105" s="122" t="str">
        <f>IF(TRIM(G105)&lt;&gt;"",COUNTA(G$9:$G105)&amp;"","")</f>
        <v>72</v>
      </c>
      <c r="B105" s="123" t="s">
        <v>471</v>
      </c>
      <c r="C105" s="123" t="s">
        <v>471</v>
      </c>
      <c r="D105" s="50"/>
      <c r="E105" s="89" t="s">
        <v>433</v>
      </c>
      <c r="F105" s="124">
        <v>1</v>
      </c>
      <c r="G105" s="125" t="s">
        <v>250</v>
      </c>
      <c r="H105" s="33">
        <f t="shared" ref="H105:H107" si="129">IF(F105=0,"",0)</f>
        <v>0</v>
      </c>
      <c r="I105" s="82">
        <f t="shared" ref="I105:I107" si="130">IF(F105=0,"",F105+(F105*H105))</f>
        <v>1</v>
      </c>
      <c r="J105" s="34">
        <f>11.23*12.167</f>
        <v>136.63541000000001</v>
      </c>
      <c r="K105" s="35">
        <f t="shared" ref="K105:K107" si="131">IF(F105=0,"",J105*I105)</f>
        <v>136.63541000000001</v>
      </c>
      <c r="L105" s="36">
        <f t="shared" ref="L105:L107" si="132">IF(F105=0,"",L$14)</f>
        <v>73.03</v>
      </c>
      <c r="M105" s="37">
        <f>0.076*12.167</f>
        <v>0.92469199999999996</v>
      </c>
      <c r="N105" s="37">
        <f t="shared" ref="N105:N107" si="133">IF(F105=0,"",M105*I105)</f>
        <v>0.92469199999999996</v>
      </c>
      <c r="O105" s="35">
        <f t="shared" ref="O105:O107" si="134">IF(F105=0,"",N105*L105)</f>
        <v>67.53025676</v>
      </c>
      <c r="P105" s="38">
        <f t="shared" ref="P105:P107" si="135">IF(F105=0,"",K105+O105)</f>
        <v>204.16566676000002</v>
      </c>
      <c r="Q105" s="39"/>
    </row>
    <row r="106" spans="1:17" x14ac:dyDescent="0.25">
      <c r="A106" s="122" t="str">
        <f>IF(TRIM(G106)&lt;&gt;"",COUNTA(G$9:$G106)&amp;"","")</f>
        <v>73</v>
      </c>
      <c r="B106" s="123" t="s">
        <v>471</v>
      </c>
      <c r="C106" s="123" t="s">
        <v>471</v>
      </c>
      <c r="D106" s="50"/>
      <c r="E106" s="89" t="s">
        <v>434</v>
      </c>
      <c r="F106" s="124">
        <v>1</v>
      </c>
      <c r="G106" s="125" t="s">
        <v>250</v>
      </c>
      <c r="H106" s="33">
        <f t="shared" si="129"/>
        <v>0</v>
      </c>
      <c r="I106" s="82">
        <f t="shared" si="130"/>
        <v>1</v>
      </c>
      <c r="J106" s="34">
        <f>11.23*12.33</f>
        <v>138.4659</v>
      </c>
      <c r="K106" s="35">
        <f t="shared" si="131"/>
        <v>138.4659</v>
      </c>
      <c r="L106" s="36">
        <f t="shared" si="132"/>
        <v>73.03</v>
      </c>
      <c r="M106" s="37">
        <f>0.076*12.33</f>
        <v>0.93708000000000002</v>
      </c>
      <c r="N106" s="37">
        <f t="shared" si="133"/>
        <v>0.93708000000000002</v>
      </c>
      <c r="O106" s="35">
        <f t="shared" si="134"/>
        <v>68.4349524</v>
      </c>
      <c r="P106" s="38">
        <f t="shared" si="135"/>
        <v>206.90085240000002</v>
      </c>
      <c r="Q106" s="39"/>
    </row>
    <row r="107" spans="1:17" x14ac:dyDescent="0.25">
      <c r="A107" s="122" t="str">
        <f>IF(TRIM(G107)&lt;&gt;"",COUNTA(G$9:$G107)&amp;"","")</f>
        <v>74</v>
      </c>
      <c r="B107" s="123" t="s">
        <v>471</v>
      </c>
      <c r="C107" s="123" t="s">
        <v>471</v>
      </c>
      <c r="D107" s="50"/>
      <c r="E107" s="89" t="s">
        <v>435</v>
      </c>
      <c r="F107" s="124">
        <v>8</v>
      </c>
      <c r="G107" s="125" t="s">
        <v>250</v>
      </c>
      <c r="H107" s="33">
        <f t="shared" si="129"/>
        <v>0</v>
      </c>
      <c r="I107" s="82">
        <f t="shared" si="130"/>
        <v>8</v>
      </c>
      <c r="J107" s="34">
        <f>11.23*14</f>
        <v>157.22</v>
      </c>
      <c r="K107" s="35">
        <f t="shared" si="131"/>
        <v>1257.76</v>
      </c>
      <c r="L107" s="36">
        <f t="shared" si="132"/>
        <v>73.03</v>
      </c>
      <c r="M107" s="37">
        <f>0.076*14</f>
        <v>1.0640000000000001</v>
      </c>
      <c r="N107" s="37">
        <f t="shared" si="133"/>
        <v>8.5120000000000005</v>
      </c>
      <c r="O107" s="35">
        <f t="shared" si="134"/>
        <v>621.63136000000009</v>
      </c>
      <c r="P107" s="38">
        <f t="shared" si="135"/>
        <v>1879.3913600000001</v>
      </c>
      <c r="Q107" s="39"/>
    </row>
    <row r="108" spans="1:17" x14ac:dyDescent="0.25">
      <c r="A108" s="122" t="str">
        <f>IF(TRIM(G108)&lt;&gt;"",COUNTA(G$9:$G108)&amp;"","")</f>
        <v>75</v>
      </c>
      <c r="B108" s="123" t="s">
        <v>471</v>
      </c>
      <c r="C108" s="123" t="s">
        <v>471</v>
      </c>
      <c r="D108" s="50"/>
      <c r="E108" s="89" t="s">
        <v>436</v>
      </c>
      <c r="F108" s="124">
        <v>1</v>
      </c>
      <c r="G108" s="125" t="s">
        <v>250</v>
      </c>
      <c r="H108" s="33">
        <f t="shared" si="95"/>
        <v>0</v>
      </c>
      <c r="I108" s="82">
        <f t="shared" si="96"/>
        <v>1</v>
      </c>
      <c r="J108" s="34">
        <f>7.65/32*64*12.167</f>
        <v>186.1551</v>
      </c>
      <c r="K108" s="35">
        <f t="shared" si="98"/>
        <v>186.1551</v>
      </c>
      <c r="L108" s="36">
        <f t="shared" si="103"/>
        <v>73.03</v>
      </c>
      <c r="M108" s="37">
        <f>0.04/32*64*12.167</f>
        <v>0.97336</v>
      </c>
      <c r="N108" s="37">
        <f t="shared" si="100"/>
        <v>0.97336</v>
      </c>
      <c r="O108" s="35">
        <f t="shared" si="101"/>
        <v>71.084480799999994</v>
      </c>
      <c r="P108" s="38">
        <f t="shared" si="102"/>
        <v>257.2395808</v>
      </c>
      <c r="Q108" s="39"/>
    </row>
    <row r="109" spans="1:17" x14ac:dyDescent="0.25">
      <c r="A109" s="122" t="str">
        <f>IF(TRIM(G109)&lt;&gt;"",COUNTA(G$9:$G109)&amp;"","")</f>
        <v/>
      </c>
      <c r="B109" s="123"/>
      <c r="C109" s="123"/>
      <c r="D109" s="50"/>
      <c r="E109" s="198" t="s">
        <v>438</v>
      </c>
      <c r="F109" s="124"/>
      <c r="G109" s="125"/>
      <c r="H109" s="33" t="str">
        <f t="shared" si="95"/>
        <v/>
      </c>
      <c r="I109" s="82" t="str">
        <f t="shared" si="96"/>
        <v/>
      </c>
      <c r="J109" s="34" t="str">
        <f t="shared" si="97"/>
        <v/>
      </c>
      <c r="K109" s="35" t="str">
        <f t="shared" si="98"/>
        <v/>
      </c>
      <c r="L109" s="36" t="str">
        <f t="shared" si="103"/>
        <v/>
      </c>
      <c r="M109" s="37" t="str">
        <f t="shared" si="99"/>
        <v/>
      </c>
      <c r="N109" s="37" t="str">
        <f t="shared" si="100"/>
        <v/>
      </c>
      <c r="O109" s="35" t="str">
        <f t="shared" si="101"/>
        <v/>
      </c>
      <c r="P109" s="38" t="str">
        <f t="shared" si="102"/>
        <v/>
      </c>
      <c r="Q109" s="39"/>
    </row>
    <row r="110" spans="1:17" x14ac:dyDescent="0.25">
      <c r="A110" s="122" t="str">
        <f>IF(TRIM(G110)&lt;&gt;"",COUNTA(G$9:$G110)&amp;"","")</f>
        <v>76</v>
      </c>
      <c r="B110" s="123" t="s">
        <v>471</v>
      </c>
      <c r="C110" s="123" t="s">
        <v>471</v>
      </c>
      <c r="D110" s="50"/>
      <c r="E110" s="89" t="s">
        <v>448</v>
      </c>
      <c r="F110" s="124">
        <v>84.57</v>
      </c>
      <c r="G110" s="125" t="s">
        <v>228</v>
      </c>
      <c r="H110" s="33">
        <v>0.1</v>
      </c>
      <c r="I110" s="82">
        <f t="shared" si="96"/>
        <v>93.026999999999987</v>
      </c>
      <c r="J110" s="34">
        <v>9.64</v>
      </c>
      <c r="K110" s="35">
        <f t="shared" si="98"/>
        <v>896.78027999999995</v>
      </c>
      <c r="L110" s="36">
        <f t="shared" si="103"/>
        <v>73.03</v>
      </c>
      <c r="M110" s="37">
        <v>4.3999999999999997E-2</v>
      </c>
      <c r="N110" s="37">
        <f t="shared" si="100"/>
        <v>4.0931879999999996</v>
      </c>
      <c r="O110" s="35">
        <f t="shared" si="101"/>
        <v>298.92551963999995</v>
      </c>
      <c r="P110" s="38">
        <f t="shared" si="102"/>
        <v>1195.7057996399999</v>
      </c>
      <c r="Q110" s="39"/>
    </row>
    <row r="111" spans="1:17" x14ac:dyDescent="0.25">
      <c r="A111" s="122" t="str">
        <f>IF(TRIM(G111)&lt;&gt;"",COUNTA(G$9:$G111)&amp;"","")</f>
        <v>77</v>
      </c>
      <c r="B111" s="123" t="s">
        <v>471</v>
      </c>
      <c r="C111" s="123" t="s">
        <v>471</v>
      </c>
      <c r="D111" s="50"/>
      <c r="E111" s="89" t="s">
        <v>439</v>
      </c>
      <c r="F111" s="124">
        <v>34.93</v>
      </c>
      <c r="G111" s="125" t="s">
        <v>228</v>
      </c>
      <c r="H111" s="33">
        <v>0.1</v>
      </c>
      <c r="I111" s="82">
        <f t="shared" ref="I111:I113" si="136">IF(F111=0,"",F111+(F111*H111))</f>
        <v>38.423000000000002</v>
      </c>
      <c r="J111" s="34">
        <f>(6.01/(1.75*9.25))*8.75*21</f>
        <v>68.221621621621622</v>
      </c>
      <c r="K111" s="35">
        <f t="shared" ref="K111:K113" si="137">IF(F111=0,"",J111*I111)</f>
        <v>2621.2793675675675</v>
      </c>
      <c r="L111" s="36">
        <f t="shared" ref="L111:L113" si="138">IF(F111=0,"",L$14)</f>
        <v>73.03</v>
      </c>
      <c r="M111" s="37">
        <f>(0.033/(1.75*9.25))*8.75*21</f>
        <v>0.37459459459459454</v>
      </c>
      <c r="N111" s="37">
        <f t="shared" ref="N111:N113" si="139">IF(F111=0,"",M111*I111)</f>
        <v>14.393048108108108</v>
      </c>
      <c r="O111" s="35">
        <f t="shared" ref="O111:O113" si="140">IF(F111=0,"",N111*L111)</f>
        <v>1051.1243033351352</v>
      </c>
      <c r="P111" s="38">
        <f t="shared" ref="P111:P113" si="141">IF(F111=0,"",K111+O111)</f>
        <v>3672.4036709027027</v>
      </c>
      <c r="Q111" s="39"/>
    </row>
    <row r="112" spans="1:17" x14ac:dyDescent="0.25">
      <c r="A112" s="122" t="str">
        <f>IF(TRIM(G112)&lt;&gt;"",COUNTA(G$9:$G112)&amp;"","")</f>
        <v>78</v>
      </c>
      <c r="B112" s="123" t="s">
        <v>471</v>
      </c>
      <c r="C112" s="123" t="s">
        <v>471</v>
      </c>
      <c r="D112" s="50"/>
      <c r="E112" s="89" t="s">
        <v>440</v>
      </c>
      <c r="F112" s="124">
        <v>144.5</v>
      </c>
      <c r="G112" s="125" t="s">
        <v>228</v>
      </c>
      <c r="H112" s="33">
        <v>0.1</v>
      </c>
      <c r="I112" s="82">
        <f t="shared" si="136"/>
        <v>158.94999999999999</v>
      </c>
      <c r="J112" s="34">
        <f>(6.01/(1.75*9.25))*8.75*18</f>
        <v>58.475675675675674</v>
      </c>
      <c r="K112" s="35">
        <f t="shared" si="137"/>
        <v>9294.7086486486478</v>
      </c>
      <c r="L112" s="36">
        <f t="shared" si="138"/>
        <v>73.03</v>
      </c>
      <c r="M112" s="37">
        <f>(0.033/(1.75*9.25))*8.75*18</f>
        <v>0.32108108108108102</v>
      </c>
      <c r="N112" s="37">
        <f t="shared" si="139"/>
        <v>51.035837837837825</v>
      </c>
      <c r="O112" s="35">
        <f t="shared" si="140"/>
        <v>3727.1472372972962</v>
      </c>
      <c r="P112" s="38">
        <f t="shared" si="141"/>
        <v>13021.855885945944</v>
      </c>
      <c r="Q112" s="39"/>
    </row>
    <row r="113" spans="1:17" x14ac:dyDescent="0.25">
      <c r="A113" s="122" t="str">
        <f>IF(TRIM(G113)&lt;&gt;"",COUNTA(G$9:$G113)&amp;"","")</f>
        <v>79</v>
      </c>
      <c r="B113" s="123" t="s">
        <v>471</v>
      </c>
      <c r="C113" s="123" t="s">
        <v>471</v>
      </c>
      <c r="D113" s="50"/>
      <c r="E113" s="89" t="s">
        <v>441</v>
      </c>
      <c r="F113" s="124">
        <v>38.72</v>
      </c>
      <c r="G113" s="125" t="s">
        <v>228</v>
      </c>
      <c r="H113" s="33">
        <v>0.1</v>
      </c>
      <c r="I113" s="82">
        <f t="shared" si="136"/>
        <v>42.591999999999999</v>
      </c>
      <c r="J113" s="34">
        <f>(6.01/(1.75*9.25))*6.75*15</f>
        <v>37.591505791505796</v>
      </c>
      <c r="K113" s="35">
        <f t="shared" si="137"/>
        <v>1601.0974146718147</v>
      </c>
      <c r="L113" s="36">
        <f t="shared" si="138"/>
        <v>73.03</v>
      </c>
      <c r="M113" s="37">
        <f>(0.033/(1.75*9.25))*6.75*15</f>
        <v>0.20640926640926638</v>
      </c>
      <c r="N113" s="37">
        <f t="shared" si="139"/>
        <v>8.7913834749034727</v>
      </c>
      <c r="O113" s="35">
        <f t="shared" si="140"/>
        <v>642.03473517220061</v>
      </c>
      <c r="P113" s="38">
        <f t="shared" si="141"/>
        <v>2243.1321498440152</v>
      </c>
      <c r="Q113" s="39"/>
    </row>
    <row r="114" spans="1:17" x14ac:dyDescent="0.25">
      <c r="A114" s="122" t="str">
        <f>IF(TRIM(G114)&lt;&gt;"",COUNTA(G$9:$G114)&amp;"","")</f>
        <v>80</v>
      </c>
      <c r="B114" s="123" t="s">
        <v>471</v>
      </c>
      <c r="C114" s="123" t="s">
        <v>471</v>
      </c>
      <c r="D114" s="50"/>
      <c r="E114" s="89" t="s">
        <v>442</v>
      </c>
      <c r="F114" s="124">
        <v>24.61</v>
      </c>
      <c r="G114" s="125" t="s">
        <v>228</v>
      </c>
      <c r="H114" s="33">
        <v>0.1</v>
      </c>
      <c r="I114" s="82">
        <f t="shared" si="96"/>
        <v>27.070999999999998</v>
      </c>
      <c r="J114" s="34">
        <v>9.64</v>
      </c>
      <c r="K114" s="35">
        <f t="shared" si="98"/>
        <v>260.96443999999997</v>
      </c>
      <c r="L114" s="36">
        <f t="shared" si="103"/>
        <v>73.03</v>
      </c>
      <c r="M114" s="37">
        <v>4.3999999999999997E-2</v>
      </c>
      <c r="N114" s="37">
        <f t="shared" si="100"/>
        <v>1.1911239999999998</v>
      </c>
      <c r="O114" s="35">
        <f t="shared" si="101"/>
        <v>86.987785719999991</v>
      </c>
      <c r="P114" s="38">
        <f t="shared" si="102"/>
        <v>347.95222571999994</v>
      </c>
      <c r="Q114" s="39"/>
    </row>
    <row r="115" spans="1:17" x14ac:dyDescent="0.25">
      <c r="A115" s="122" t="str">
        <f>IF(TRIM(G115)&lt;&gt;"",COUNTA(G$9:$G115)&amp;"","")</f>
        <v>81</v>
      </c>
      <c r="B115" s="123" t="s">
        <v>471</v>
      </c>
      <c r="C115" s="123" t="s">
        <v>471</v>
      </c>
      <c r="D115" s="50"/>
      <c r="E115" s="89" t="s">
        <v>443</v>
      </c>
      <c r="F115" s="124">
        <v>14</v>
      </c>
      <c r="G115" s="125" t="s">
        <v>228</v>
      </c>
      <c r="H115" s="33">
        <v>0.1</v>
      </c>
      <c r="I115" s="82">
        <f t="shared" si="96"/>
        <v>15.4</v>
      </c>
      <c r="J115" s="34">
        <f>(6.01/(1.75*9.25))*8.75*15</f>
        <v>48.729729729729733</v>
      </c>
      <c r="K115" s="35">
        <f t="shared" si="98"/>
        <v>750.43783783783795</v>
      </c>
      <c r="L115" s="36">
        <f t="shared" si="103"/>
        <v>73.03</v>
      </c>
      <c r="M115" s="37">
        <f>(0.033/(1.75*9.25))*8.75*15</f>
        <v>0.26756756756756755</v>
      </c>
      <c r="N115" s="37">
        <f t="shared" si="100"/>
        <v>4.1205405405405404</v>
      </c>
      <c r="O115" s="35">
        <f t="shared" si="101"/>
        <v>300.92307567567565</v>
      </c>
      <c r="P115" s="38">
        <f t="shared" si="102"/>
        <v>1051.3609135135137</v>
      </c>
      <c r="Q115" s="39"/>
    </row>
    <row r="116" spans="1:17" x14ac:dyDescent="0.25">
      <c r="A116" s="122" t="str">
        <f>IF(TRIM(G116)&lt;&gt;"",COUNTA(G$9:$G116)&amp;"","")</f>
        <v>82</v>
      </c>
      <c r="B116" s="123" t="s">
        <v>471</v>
      </c>
      <c r="C116" s="123" t="s">
        <v>471</v>
      </c>
      <c r="D116" s="50"/>
      <c r="E116" s="89" t="s">
        <v>450</v>
      </c>
      <c r="F116" s="124">
        <f>122.07*1.034</f>
        <v>126.22037999999999</v>
      </c>
      <c r="G116" s="125" t="s">
        <v>228</v>
      </c>
      <c r="H116" s="33">
        <v>0.1</v>
      </c>
      <c r="I116" s="82">
        <f t="shared" si="96"/>
        <v>138.84241799999998</v>
      </c>
      <c r="J116" s="34">
        <v>9.64</v>
      </c>
      <c r="K116" s="35">
        <f t="shared" si="98"/>
        <v>1338.4409095199999</v>
      </c>
      <c r="L116" s="36">
        <f t="shared" si="103"/>
        <v>73.03</v>
      </c>
      <c r="M116" s="37">
        <v>4.3999999999999997E-2</v>
      </c>
      <c r="N116" s="37">
        <f t="shared" si="100"/>
        <v>6.109066391999999</v>
      </c>
      <c r="O116" s="35">
        <f t="shared" si="101"/>
        <v>446.14511860775991</v>
      </c>
      <c r="P116" s="38">
        <f t="shared" si="102"/>
        <v>1784.5860281277598</v>
      </c>
      <c r="Q116" s="39"/>
    </row>
    <row r="117" spans="1:17" x14ac:dyDescent="0.25">
      <c r="A117" s="122" t="str">
        <f>IF(TRIM(G117)&lt;&gt;"",COUNTA(G$9:$G117)&amp;"","")</f>
        <v>83</v>
      </c>
      <c r="B117" s="123" t="s">
        <v>471</v>
      </c>
      <c r="C117" s="123" t="s">
        <v>471</v>
      </c>
      <c r="D117" s="50"/>
      <c r="E117" s="89" t="s">
        <v>451</v>
      </c>
      <c r="F117" s="124">
        <f>59.17*1.034</f>
        <v>61.181780000000003</v>
      </c>
      <c r="G117" s="125" t="s">
        <v>228</v>
      </c>
      <c r="H117" s="33">
        <v>0.1</v>
      </c>
      <c r="I117" s="82">
        <f t="shared" ref="I117:I119" si="142">IF(F117=0,"",F117+(F117*H117))</f>
        <v>67.299958000000004</v>
      </c>
      <c r="J117" s="34">
        <v>3.43</v>
      </c>
      <c r="K117" s="35">
        <f t="shared" ref="K117:K119" si="143">IF(F117=0,"",J117*I117)</f>
        <v>230.83885594000003</v>
      </c>
      <c r="L117" s="36">
        <f t="shared" ref="L117:L119" si="144">IF(F117=0,"",L$14)</f>
        <v>73.03</v>
      </c>
      <c r="M117" s="37">
        <v>5.2999999999999999E-2</v>
      </c>
      <c r="N117" s="37">
        <f t="shared" ref="N117:N119" si="145">IF(F117=0,"",M117*I117)</f>
        <v>3.5668977740000001</v>
      </c>
      <c r="O117" s="35">
        <f t="shared" ref="O117:O119" si="146">IF(F117=0,"",N117*L117)</f>
        <v>260.49054443521999</v>
      </c>
      <c r="P117" s="38">
        <f t="shared" ref="P117:P119" si="147">IF(F117=0,"",K117+O117)</f>
        <v>491.32940037522002</v>
      </c>
      <c r="Q117" s="39"/>
    </row>
    <row r="118" spans="1:17" x14ac:dyDescent="0.25">
      <c r="A118" s="122" t="str">
        <f>IF(TRIM(G118)&lt;&gt;"",COUNTA(G$9:$G118)&amp;"","")</f>
        <v>84</v>
      </c>
      <c r="B118" s="123" t="s">
        <v>471</v>
      </c>
      <c r="C118" s="123" t="s">
        <v>471</v>
      </c>
      <c r="D118" s="50"/>
      <c r="E118" s="89" t="s">
        <v>445</v>
      </c>
      <c r="F118" s="124">
        <v>97.84</v>
      </c>
      <c r="G118" s="125" t="s">
        <v>228</v>
      </c>
      <c r="H118" s="33">
        <v>0.1</v>
      </c>
      <c r="I118" s="82">
        <f t="shared" si="142"/>
        <v>107.62400000000001</v>
      </c>
      <c r="J118" s="34">
        <v>3.43</v>
      </c>
      <c r="K118" s="35">
        <f t="shared" si="143"/>
        <v>369.15032000000002</v>
      </c>
      <c r="L118" s="36">
        <f t="shared" si="144"/>
        <v>73.03</v>
      </c>
      <c r="M118" s="37">
        <v>5.2999999999999999E-2</v>
      </c>
      <c r="N118" s="37">
        <f t="shared" si="145"/>
        <v>5.704072</v>
      </c>
      <c r="O118" s="35">
        <f t="shared" si="146"/>
        <v>416.56837816000001</v>
      </c>
      <c r="P118" s="38">
        <f t="shared" si="147"/>
        <v>785.71869816000003</v>
      </c>
      <c r="Q118" s="39"/>
    </row>
    <row r="119" spans="1:17" x14ac:dyDescent="0.25">
      <c r="A119" s="122" t="str">
        <f>IF(TRIM(G119)&lt;&gt;"",COUNTA(G$9:$G119)&amp;"","")</f>
        <v>85</v>
      </c>
      <c r="B119" s="123" t="s">
        <v>471</v>
      </c>
      <c r="C119" s="123" t="s">
        <v>471</v>
      </c>
      <c r="D119" s="50"/>
      <c r="E119" s="89" t="s">
        <v>446</v>
      </c>
      <c r="F119" s="124">
        <v>18.739999999999998</v>
      </c>
      <c r="G119" s="125" t="s">
        <v>228</v>
      </c>
      <c r="H119" s="33">
        <v>0.1</v>
      </c>
      <c r="I119" s="82">
        <f t="shared" si="142"/>
        <v>20.613999999999997</v>
      </c>
      <c r="J119" s="34">
        <v>0.85</v>
      </c>
      <c r="K119" s="35">
        <f t="shared" si="143"/>
        <v>17.521899999999999</v>
      </c>
      <c r="L119" s="36">
        <f t="shared" si="144"/>
        <v>73.03</v>
      </c>
      <c r="M119" s="37">
        <v>0.04</v>
      </c>
      <c r="N119" s="37">
        <f t="shared" si="145"/>
        <v>0.82455999999999996</v>
      </c>
      <c r="O119" s="35">
        <f t="shared" si="146"/>
        <v>60.217616799999995</v>
      </c>
      <c r="P119" s="38">
        <f t="shared" si="147"/>
        <v>77.73951679999999</v>
      </c>
      <c r="Q119" s="39"/>
    </row>
    <row r="120" spans="1:17" x14ac:dyDescent="0.25">
      <c r="A120" s="122" t="str">
        <f>IF(TRIM(G120)&lt;&gt;"",COUNTA(G$9:$G120)&amp;"","")</f>
        <v>86</v>
      </c>
      <c r="B120" s="123" t="s">
        <v>471</v>
      </c>
      <c r="C120" s="123" t="s">
        <v>471</v>
      </c>
      <c r="D120" s="50"/>
      <c r="E120" s="89" t="s">
        <v>447</v>
      </c>
      <c r="F120" s="124">
        <v>318.45</v>
      </c>
      <c r="G120" s="125" t="s">
        <v>228</v>
      </c>
      <c r="H120" s="33">
        <v>0.1</v>
      </c>
      <c r="I120" s="82">
        <f t="shared" si="96"/>
        <v>350.29499999999996</v>
      </c>
      <c r="J120" s="34">
        <v>3.43</v>
      </c>
      <c r="K120" s="35">
        <f t="shared" si="98"/>
        <v>1201.5118499999999</v>
      </c>
      <c r="L120" s="36">
        <f t="shared" si="103"/>
        <v>73.03</v>
      </c>
      <c r="M120" s="37">
        <v>5.2999999999999999E-2</v>
      </c>
      <c r="N120" s="37">
        <f t="shared" si="100"/>
        <v>18.565634999999997</v>
      </c>
      <c r="O120" s="35">
        <f t="shared" si="101"/>
        <v>1355.8483240499997</v>
      </c>
      <c r="P120" s="38">
        <f t="shared" si="102"/>
        <v>2557.3601740499998</v>
      </c>
      <c r="Q120" s="39"/>
    </row>
    <row r="121" spans="1:17" ht="60" x14ac:dyDescent="0.25">
      <c r="A121" s="122" t="str">
        <f>IF(TRIM(G121)&lt;&gt;"",COUNTA(G$9:$G121)&amp;"","")</f>
        <v>87</v>
      </c>
      <c r="B121" s="123" t="s">
        <v>471</v>
      </c>
      <c r="C121" s="123" t="s">
        <v>471</v>
      </c>
      <c r="D121" s="50"/>
      <c r="E121" s="89" t="s">
        <v>571</v>
      </c>
      <c r="F121" s="124">
        <f>1469.65*2</f>
        <v>2939.3</v>
      </c>
      <c r="G121" s="125" t="s">
        <v>228</v>
      </c>
      <c r="H121" s="33">
        <v>0.1</v>
      </c>
      <c r="I121" s="82">
        <f t="shared" si="96"/>
        <v>3233.23</v>
      </c>
      <c r="J121" s="34">
        <v>3.43</v>
      </c>
      <c r="K121" s="35">
        <f t="shared" si="98"/>
        <v>11089.9789</v>
      </c>
      <c r="L121" s="36">
        <f t="shared" si="103"/>
        <v>73.03</v>
      </c>
      <c r="M121" s="37">
        <v>5.2999999999999999E-2</v>
      </c>
      <c r="N121" s="37">
        <f t="shared" si="100"/>
        <v>171.36118999999999</v>
      </c>
      <c r="O121" s="35">
        <f t="shared" si="101"/>
        <v>12514.5077057</v>
      </c>
      <c r="P121" s="38">
        <f t="shared" si="102"/>
        <v>23604.4866057</v>
      </c>
      <c r="Q121" s="39"/>
    </row>
    <row r="122" spans="1:17" ht="30" x14ac:dyDescent="0.25">
      <c r="A122" s="122" t="str">
        <f>IF(TRIM(G122)&lt;&gt;"",COUNTA(G$9:$G122)&amp;"","")</f>
        <v>88</v>
      </c>
      <c r="B122" s="123" t="s">
        <v>471</v>
      </c>
      <c r="C122" s="123" t="s">
        <v>471</v>
      </c>
      <c r="D122" s="50"/>
      <c r="E122" s="89" t="s">
        <v>572</v>
      </c>
      <c r="F122" s="124">
        <v>655.41</v>
      </c>
      <c r="G122" s="125" t="s">
        <v>228</v>
      </c>
      <c r="H122" s="33">
        <v>0.1</v>
      </c>
      <c r="I122" s="82">
        <f t="shared" si="96"/>
        <v>720.95100000000002</v>
      </c>
      <c r="J122" s="34">
        <v>3.43</v>
      </c>
      <c r="K122" s="35">
        <f t="shared" si="98"/>
        <v>2472.86193</v>
      </c>
      <c r="L122" s="36">
        <f t="shared" si="103"/>
        <v>73.03</v>
      </c>
      <c r="M122" s="37">
        <v>5.2999999999999999E-2</v>
      </c>
      <c r="N122" s="37">
        <f t="shared" si="100"/>
        <v>38.210402999999999</v>
      </c>
      <c r="O122" s="35">
        <f t="shared" si="101"/>
        <v>2790.5057310900002</v>
      </c>
      <c r="P122" s="38">
        <f t="shared" si="102"/>
        <v>5263.3676610900002</v>
      </c>
      <c r="Q122" s="39"/>
    </row>
    <row r="123" spans="1:17" ht="60" x14ac:dyDescent="0.25">
      <c r="A123" s="122" t="str">
        <f>IF(TRIM(G123)&lt;&gt;"",COUNTA(G$9:$G123)&amp;"","")</f>
        <v>89</v>
      </c>
      <c r="B123" s="123" t="s">
        <v>471</v>
      </c>
      <c r="C123" s="123" t="s">
        <v>471</v>
      </c>
      <c r="D123" s="50"/>
      <c r="E123" s="89" t="s">
        <v>573</v>
      </c>
      <c r="F123" s="124">
        <v>492.59</v>
      </c>
      <c r="G123" s="125" t="s">
        <v>228</v>
      </c>
      <c r="H123" s="33">
        <v>0.1</v>
      </c>
      <c r="I123" s="82">
        <f t="shared" ref="I123:I126" si="148">IF(F123=0,"",F123+(F123*H123))</f>
        <v>541.84899999999993</v>
      </c>
      <c r="J123" s="34">
        <v>3.43</v>
      </c>
      <c r="K123" s="35">
        <f t="shared" ref="K123:K126" si="149">IF(F123=0,"",J123*I123)</f>
        <v>1858.54207</v>
      </c>
      <c r="L123" s="36">
        <f t="shared" ref="L123:L126" si="150">IF(F123=0,"",L$14)</f>
        <v>73.03</v>
      </c>
      <c r="M123" s="37">
        <v>5.2999999999999999E-2</v>
      </c>
      <c r="N123" s="37">
        <f t="shared" ref="N123:N126" si="151">IF(F123=0,"",M123*I123)</f>
        <v>28.717996999999997</v>
      </c>
      <c r="O123" s="35">
        <f t="shared" ref="O123:O126" si="152">IF(F123=0,"",N123*L123)</f>
        <v>2097.2753209099997</v>
      </c>
      <c r="P123" s="38">
        <f t="shared" ref="P123:P126" si="153">IF(F123=0,"",K123+O123)</f>
        <v>3955.8173909099996</v>
      </c>
      <c r="Q123" s="39"/>
    </row>
    <row r="124" spans="1:17" x14ac:dyDescent="0.25">
      <c r="A124" s="122" t="str">
        <f>IF(TRIM(G124)&lt;&gt;"",COUNTA(G$9:$G124)&amp;"","")</f>
        <v/>
      </c>
      <c r="B124" s="123"/>
      <c r="C124" s="123"/>
      <c r="D124" s="50"/>
      <c r="E124" s="198" t="s">
        <v>449</v>
      </c>
      <c r="F124" s="124"/>
      <c r="G124" s="125"/>
      <c r="H124" s="33" t="str">
        <f t="shared" ref="H124" si="154">IF(F124=0,"",0)</f>
        <v/>
      </c>
      <c r="I124" s="82" t="str">
        <f t="shared" si="148"/>
        <v/>
      </c>
      <c r="J124" s="34" t="str">
        <f t="shared" ref="J124" si="155">IF(F124=0,"",0)</f>
        <v/>
      </c>
      <c r="K124" s="35" t="str">
        <f t="shared" si="149"/>
        <v/>
      </c>
      <c r="L124" s="36" t="str">
        <f t="shared" si="150"/>
        <v/>
      </c>
      <c r="M124" s="37" t="str">
        <f t="shared" ref="M124" si="156">IF(F124=0,"",0)</f>
        <v/>
      </c>
      <c r="N124" s="37" t="str">
        <f t="shared" si="151"/>
        <v/>
      </c>
      <c r="O124" s="35" t="str">
        <f t="shared" si="152"/>
        <v/>
      </c>
      <c r="P124" s="38" t="str">
        <f t="shared" si="153"/>
        <v/>
      </c>
      <c r="Q124" s="39"/>
    </row>
    <row r="125" spans="1:17" ht="75" x14ac:dyDescent="0.25">
      <c r="A125" s="122" t="str">
        <f>IF(TRIM(G125)&lt;&gt;"",COUNTA(G$9:$G125)&amp;"","")</f>
        <v>90</v>
      </c>
      <c r="B125" s="123" t="s">
        <v>471</v>
      </c>
      <c r="C125" s="123" t="s">
        <v>471</v>
      </c>
      <c r="D125" s="50"/>
      <c r="E125" s="89" t="s">
        <v>574</v>
      </c>
      <c r="F125" s="124">
        <v>772</v>
      </c>
      <c r="G125" s="125" t="s">
        <v>228</v>
      </c>
      <c r="H125" s="33">
        <v>0.1</v>
      </c>
      <c r="I125" s="82">
        <f t="shared" si="148"/>
        <v>849.2</v>
      </c>
      <c r="J125" s="34">
        <v>0.85</v>
      </c>
      <c r="K125" s="35">
        <f t="shared" si="149"/>
        <v>721.82</v>
      </c>
      <c r="L125" s="36">
        <f t="shared" si="150"/>
        <v>73.03</v>
      </c>
      <c r="M125" s="37">
        <v>0.04</v>
      </c>
      <c r="N125" s="37">
        <f t="shared" si="151"/>
        <v>33.968000000000004</v>
      </c>
      <c r="O125" s="35">
        <f t="shared" si="152"/>
        <v>2480.6830400000003</v>
      </c>
      <c r="P125" s="38">
        <f t="shared" si="153"/>
        <v>3202.5030400000005</v>
      </c>
      <c r="Q125" s="39"/>
    </row>
    <row r="126" spans="1:17" x14ac:dyDescent="0.25">
      <c r="A126" s="122" t="str">
        <f>IF(TRIM(G126)&lt;&gt;"",COUNTA(G$9:$G126)&amp;"","")</f>
        <v>91</v>
      </c>
      <c r="B126" s="123" t="s">
        <v>471</v>
      </c>
      <c r="C126" s="123" t="s">
        <v>471</v>
      </c>
      <c r="D126" s="50"/>
      <c r="E126" s="89" t="s">
        <v>452</v>
      </c>
      <c r="F126" s="124">
        <v>165.02</v>
      </c>
      <c r="G126" s="125" t="s">
        <v>228</v>
      </c>
      <c r="H126" s="33">
        <v>0.1</v>
      </c>
      <c r="I126" s="82">
        <f t="shared" si="148"/>
        <v>181.52200000000002</v>
      </c>
      <c r="J126" s="34">
        <v>0.85</v>
      </c>
      <c r="K126" s="35">
        <f t="shared" si="149"/>
        <v>154.2937</v>
      </c>
      <c r="L126" s="36">
        <f t="shared" si="150"/>
        <v>73.03</v>
      </c>
      <c r="M126" s="37">
        <v>0.04</v>
      </c>
      <c r="N126" s="37">
        <f t="shared" si="151"/>
        <v>7.2608800000000011</v>
      </c>
      <c r="O126" s="35">
        <f t="shared" si="152"/>
        <v>530.26206640000009</v>
      </c>
      <c r="P126" s="38">
        <f t="shared" si="153"/>
        <v>684.55576640000004</v>
      </c>
      <c r="Q126" s="39"/>
    </row>
    <row r="127" spans="1:17" x14ac:dyDescent="0.25">
      <c r="A127" s="122" t="str">
        <f>IF(TRIM(G127)&lt;&gt;"",COUNTA(G$9:$G127)&amp;"","")</f>
        <v/>
      </c>
      <c r="B127" s="123"/>
      <c r="C127" s="123"/>
      <c r="D127" s="50"/>
      <c r="E127" s="198" t="s">
        <v>366</v>
      </c>
      <c r="F127" s="124"/>
      <c r="G127" s="125"/>
      <c r="H127" s="33" t="str">
        <f t="shared" ref="H127" si="157">IF(F127=0,"",0)</f>
        <v/>
      </c>
      <c r="I127" s="82" t="str">
        <f t="shared" ref="I127" si="158">IF(F127=0,"",F127+(F127*H127))</f>
        <v/>
      </c>
      <c r="J127" s="34" t="str">
        <f t="shared" ref="J127" si="159">IF(F127=0,"",0)</f>
        <v/>
      </c>
      <c r="K127" s="35" t="str">
        <f t="shared" ref="K127" si="160">IF(F127=0,"",J127*I127)</f>
        <v/>
      </c>
      <c r="L127" s="36" t="str">
        <f t="shared" ref="L127" si="161">IF(F127=0,"",L$14)</f>
        <v/>
      </c>
      <c r="M127" s="37" t="str">
        <f t="shared" ref="M127" si="162">IF(F127=0,"",0)</f>
        <v/>
      </c>
      <c r="N127" s="37" t="str">
        <f t="shared" ref="N127" si="163">IF(F127=0,"",M127*I127)</f>
        <v/>
      </c>
      <c r="O127" s="35" t="str">
        <f t="shared" ref="O127" si="164">IF(F127=0,"",N127*L127)</f>
        <v/>
      </c>
      <c r="P127" s="38" t="str">
        <f t="shared" ref="P127" si="165">IF(F127=0,"",K127+O127)</f>
        <v/>
      </c>
      <c r="Q127" s="39"/>
    </row>
    <row r="128" spans="1:17" x14ac:dyDescent="0.25">
      <c r="A128" s="122" t="str">
        <f>IF(TRIM(G128)&lt;&gt;"",COUNTA(G$9:$G128)&amp;"","")</f>
        <v>92</v>
      </c>
      <c r="B128" s="123" t="s">
        <v>471</v>
      </c>
      <c r="C128" s="123" t="s">
        <v>471</v>
      </c>
      <c r="D128" s="50"/>
      <c r="E128" s="89" t="s">
        <v>455</v>
      </c>
      <c r="F128" s="124">
        <v>11</v>
      </c>
      <c r="G128" s="125" t="s">
        <v>250</v>
      </c>
      <c r="H128" s="33">
        <f t="shared" si="95"/>
        <v>0</v>
      </c>
      <c r="I128" s="82">
        <f t="shared" si="96"/>
        <v>11</v>
      </c>
      <c r="J128" s="34">
        <v>7.85</v>
      </c>
      <c r="K128" s="35">
        <f t="shared" si="98"/>
        <v>86.35</v>
      </c>
      <c r="L128" s="36">
        <f t="shared" si="103"/>
        <v>73.03</v>
      </c>
      <c r="M128" s="37">
        <v>7.3999999999999996E-2</v>
      </c>
      <c r="N128" s="37">
        <f t="shared" si="100"/>
        <v>0.81399999999999995</v>
      </c>
      <c r="O128" s="35">
        <f t="shared" si="101"/>
        <v>59.446419999999996</v>
      </c>
      <c r="P128" s="38">
        <f t="shared" si="102"/>
        <v>145.79641999999998</v>
      </c>
      <c r="Q128" s="39"/>
    </row>
    <row r="129" spans="1:17" x14ac:dyDescent="0.25">
      <c r="A129" s="122" t="str">
        <f>IF(TRIM(G129)&lt;&gt;"",COUNTA(G$9:$G129)&amp;"","")</f>
        <v>93</v>
      </c>
      <c r="B129" s="123" t="s">
        <v>471</v>
      </c>
      <c r="C129" s="123" t="s">
        <v>471</v>
      </c>
      <c r="D129" s="50"/>
      <c r="E129" s="89" t="s">
        <v>456</v>
      </c>
      <c r="F129" s="124">
        <v>5</v>
      </c>
      <c r="G129" s="125" t="s">
        <v>250</v>
      </c>
      <c r="H129" s="33">
        <f t="shared" si="95"/>
        <v>0</v>
      </c>
      <c r="I129" s="82">
        <f t="shared" si="96"/>
        <v>5</v>
      </c>
      <c r="J129" s="34">
        <f>11.23*5</f>
        <v>56.150000000000006</v>
      </c>
      <c r="K129" s="35">
        <f t="shared" si="98"/>
        <v>280.75</v>
      </c>
      <c r="L129" s="36">
        <f t="shared" si="103"/>
        <v>73.03</v>
      </c>
      <c r="M129" s="37">
        <f>0.076*5</f>
        <v>0.38</v>
      </c>
      <c r="N129" s="37">
        <f t="shared" si="100"/>
        <v>1.9</v>
      </c>
      <c r="O129" s="35">
        <f t="shared" si="101"/>
        <v>138.75700000000001</v>
      </c>
      <c r="P129" s="38">
        <f t="shared" si="102"/>
        <v>419.50700000000001</v>
      </c>
      <c r="Q129" s="39"/>
    </row>
    <row r="130" spans="1:17" x14ac:dyDescent="0.25">
      <c r="A130" s="122" t="str">
        <f>IF(TRIM(G130)&lt;&gt;"",COUNTA(G$9:$G130)&amp;"","")</f>
        <v>94</v>
      </c>
      <c r="B130" s="123" t="s">
        <v>471</v>
      </c>
      <c r="C130" s="123" t="s">
        <v>471</v>
      </c>
      <c r="D130" s="50"/>
      <c r="E130" s="89" t="s">
        <v>457</v>
      </c>
      <c r="F130" s="124">
        <v>62.46</v>
      </c>
      <c r="G130" s="125" t="s">
        <v>228</v>
      </c>
      <c r="H130" s="33">
        <v>0.1</v>
      </c>
      <c r="I130" s="82">
        <f t="shared" si="96"/>
        <v>68.706000000000003</v>
      </c>
      <c r="J130" s="34">
        <v>14.46</v>
      </c>
      <c r="K130" s="35">
        <f t="shared" si="98"/>
        <v>993.48876000000007</v>
      </c>
      <c r="L130" s="36">
        <f t="shared" si="103"/>
        <v>73.03</v>
      </c>
      <c r="M130" s="37">
        <v>0.08</v>
      </c>
      <c r="N130" s="37">
        <f t="shared" si="100"/>
        <v>5.49648</v>
      </c>
      <c r="O130" s="35">
        <f t="shared" si="101"/>
        <v>401.40793439999999</v>
      </c>
      <c r="P130" s="38">
        <f t="shared" si="102"/>
        <v>1394.8966944000001</v>
      </c>
      <c r="Q130" s="39"/>
    </row>
    <row r="131" spans="1:17" x14ac:dyDescent="0.25">
      <c r="A131" s="122" t="str">
        <f>IF(TRIM(G131)&lt;&gt;"",COUNTA(G$9:$G131)&amp;"","")</f>
        <v>95</v>
      </c>
      <c r="B131" s="123" t="s">
        <v>471</v>
      </c>
      <c r="C131" s="123" t="s">
        <v>471</v>
      </c>
      <c r="D131" s="50"/>
      <c r="E131" s="89" t="s">
        <v>458</v>
      </c>
      <c r="F131" s="124">
        <v>48.96</v>
      </c>
      <c r="G131" s="125" t="s">
        <v>228</v>
      </c>
      <c r="H131" s="33">
        <v>0.1</v>
      </c>
      <c r="I131" s="82">
        <f t="shared" ref="I131:I133" si="166">IF(F131=0,"",F131+(F131*H131))</f>
        <v>53.856000000000002</v>
      </c>
      <c r="J131" s="34">
        <f>14.46/60*84</f>
        <v>20.244000000000003</v>
      </c>
      <c r="K131" s="35">
        <f t="shared" ref="K131:K133" si="167">IF(F131=0,"",J131*I131)</f>
        <v>1090.2608640000003</v>
      </c>
      <c r="L131" s="36">
        <f t="shared" ref="L131:L133" si="168">IF(F131=0,"",L$14)</f>
        <v>73.03</v>
      </c>
      <c r="M131" s="37">
        <f>0.08/60*84</f>
        <v>0.112</v>
      </c>
      <c r="N131" s="37">
        <f t="shared" ref="N131:N133" si="169">IF(F131=0,"",M131*I131)</f>
        <v>6.0318719999999999</v>
      </c>
      <c r="O131" s="35">
        <f t="shared" ref="O131:O133" si="170">IF(F131=0,"",N131*L131)</f>
        <v>440.50761216000001</v>
      </c>
      <c r="P131" s="38">
        <f t="shared" ref="P131:P133" si="171">IF(F131=0,"",K131+O131)</f>
        <v>1530.7684761600003</v>
      </c>
      <c r="Q131" s="39"/>
    </row>
    <row r="132" spans="1:17" x14ac:dyDescent="0.25">
      <c r="A132" s="122" t="str">
        <f>IF(TRIM(G132)&lt;&gt;"",COUNTA(G$9:$G132)&amp;"","")</f>
        <v>96</v>
      </c>
      <c r="B132" s="123" t="s">
        <v>471</v>
      </c>
      <c r="C132" s="123" t="s">
        <v>471</v>
      </c>
      <c r="D132" s="50"/>
      <c r="E132" s="89" t="s">
        <v>459</v>
      </c>
      <c r="F132" s="124">
        <v>12.01</v>
      </c>
      <c r="G132" s="125" t="s">
        <v>228</v>
      </c>
      <c r="H132" s="33">
        <v>0.1</v>
      </c>
      <c r="I132" s="82">
        <f t="shared" si="166"/>
        <v>13.211</v>
      </c>
      <c r="J132" s="34">
        <f>14.46/60*108</f>
        <v>26.028000000000002</v>
      </c>
      <c r="K132" s="35">
        <f t="shared" si="167"/>
        <v>343.85590800000006</v>
      </c>
      <c r="L132" s="36">
        <f t="shared" si="168"/>
        <v>73.03</v>
      </c>
      <c r="M132" s="37">
        <f>0.08/60*108</f>
        <v>0.14399999999999999</v>
      </c>
      <c r="N132" s="37">
        <f t="shared" si="169"/>
        <v>1.9023839999999999</v>
      </c>
      <c r="O132" s="35">
        <f t="shared" si="170"/>
        <v>138.93110351999999</v>
      </c>
      <c r="P132" s="38">
        <f t="shared" si="171"/>
        <v>482.78701152000008</v>
      </c>
      <c r="Q132" s="39"/>
    </row>
    <row r="133" spans="1:17" x14ac:dyDescent="0.25">
      <c r="A133" s="122" t="str">
        <f>IF(TRIM(G133)&lt;&gt;"",COUNTA(G$9:$G133)&amp;"","")</f>
        <v>97</v>
      </c>
      <c r="B133" s="123" t="s">
        <v>471</v>
      </c>
      <c r="C133" s="123" t="s">
        <v>471</v>
      </c>
      <c r="D133" s="50"/>
      <c r="E133" s="89" t="s">
        <v>460</v>
      </c>
      <c r="F133" s="124">
        <v>137.85</v>
      </c>
      <c r="G133" s="125" t="s">
        <v>228</v>
      </c>
      <c r="H133" s="33">
        <v>0.1</v>
      </c>
      <c r="I133" s="82">
        <f t="shared" si="166"/>
        <v>151.63499999999999</v>
      </c>
      <c r="J133" s="34">
        <f>14.46/60*72</f>
        <v>17.352</v>
      </c>
      <c r="K133" s="35">
        <f t="shared" si="167"/>
        <v>2631.1705199999997</v>
      </c>
      <c r="L133" s="36">
        <f t="shared" si="168"/>
        <v>73.03</v>
      </c>
      <c r="M133" s="37">
        <f>0.08/60*72</f>
        <v>9.6000000000000002E-2</v>
      </c>
      <c r="N133" s="37">
        <f t="shared" si="169"/>
        <v>14.55696</v>
      </c>
      <c r="O133" s="35">
        <f t="shared" si="170"/>
        <v>1063.0947888000001</v>
      </c>
      <c r="P133" s="38">
        <f t="shared" si="171"/>
        <v>3694.2653087999997</v>
      </c>
      <c r="Q133" s="39"/>
    </row>
    <row r="134" spans="1:17" x14ac:dyDescent="0.25">
      <c r="A134" s="122" t="str">
        <f>IF(TRIM(G134)&lt;&gt;"",COUNTA(G$9:$G134)&amp;"","")</f>
        <v>98</v>
      </c>
      <c r="B134" s="123" t="s">
        <v>471</v>
      </c>
      <c r="C134" s="123" t="s">
        <v>471</v>
      </c>
      <c r="D134" s="50"/>
      <c r="E134" s="89" t="s">
        <v>461</v>
      </c>
      <c r="F134" s="124">
        <v>43.96</v>
      </c>
      <c r="G134" s="125" t="s">
        <v>228</v>
      </c>
      <c r="H134" s="33">
        <v>0.1</v>
      </c>
      <c r="I134" s="82">
        <f t="shared" si="96"/>
        <v>48.356000000000002</v>
      </c>
      <c r="J134" s="34">
        <f>(6.01/(1.75*9.25))*6.25*18</f>
        <v>41.768339768339771</v>
      </c>
      <c r="K134" s="35">
        <f t="shared" si="98"/>
        <v>2019.749837837838</v>
      </c>
      <c r="L134" s="36">
        <f t="shared" si="103"/>
        <v>73.03</v>
      </c>
      <c r="M134" s="37">
        <f>(0.033/(1.75*9.25))*6.25*18</f>
        <v>0.22934362934362934</v>
      </c>
      <c r="N134" s="37">
        <f t="shared" si="100"/>
        <v>11.09014054054054</v>
      </c>
      <c r="O134" s="35">
        <f t="shared" si="101"/>
        <v>809.91296367567566</v>
      </c>
      <c r="P134" s="38">
        <f t="shared" si="102"/>
        <v>2829.6628015135138</v>
      </c>
      <c r="Q134" s="39"/>
    </row>
    <row r="135" spans="1:17" x14ac:dyDescent="0.25">
      <c r="A135" s="122" t="str">
        <f>IF(TRIM(G135)&lt;&gt;"",COUNTA(G$9:$G135)&amp;"","")</f>
        <v>99</v>
      </c>
      <c r="B135" s="123" t="s">
        <v>471</v>
      </c>
      <c r="C135" s="123" t="s">
        <v>471</v>
      </c>
      <c r="D135" s="50"/>
      <c r="E135" s="89" t="s">
        <v>462</v>
      </c>
      <c r="F135" s="124">
        <v>105.14</v>
      </c>
      <c r="G135" s="125" t="s">
        <v>228</v>
      </c>
      <c r="H135" s="33">
        <v>0.1</v>
      </c>
      <c r="I135" s="82">
        <f t="shared" si="96"/>
        <v>115.654</v>
      </c>
      <c r="J135" s="34">
        <f>(6.01/(1.75*9.25))*8.75*18</f>
        <v>58.475675675675674</v>
      </c>
      <c r="K135" s="35">
        <f t="shared" si="98"/>
        <v>6762.9457945945942</v>
      </c>
      <c r="L135" s="36">
        <f t="shared" si="103"/>
        <v>73.03</v>
      </c>
      <c r="M135" s="37">
        <f>(0.033/(1.75*9.25))*8.75*18</f>
        <v>0.32108108108108102</v>
      </c>
      <c r="N135" s="37">
        <f t="shared" si="100"/>
        <v>37.134311351351343</v>
      </c>
      <c r="O135" s="35">
        <f t="shared" si="101"/>
        <v>2711.9187579891886</v>
      </c>
      <c r="P135" s="38">
        <f t="shared" si="102"/>
        <v>9474.8645525837819</v>
      </c>
      <c r="Q135" s="39"/>
    </row>
    <row r="136" spans="1:17" x14ac:dyDescent="0.25">
      <c r="A136" s="122" t="str">
        <f>IF(TRIM(G136)&lt;&gt;"",COUNTA(G$9:$G136)&amp;"","")</f>
        <v>100</v>
      </c>
      <c r="B136" s="123" t="s">
        <v>471</v>
      </c>
      <c r="C136" s="123" t="s">
        <v>471</v>
      </c>
      <c r="D136" s="50"/>
      <c r="E136" s="89" t="s">
        <v>463</v>
      </c>
      <c r="F136" s="124">
        <v>11.92</v>
      </c>
      <c r="G136" s="125" t="s">
        <v>228</v>
      </c>
      <c r="H136" s="33">
        <v>0.1</v>
      </c>
      <c r="I136" s="82">
        <f t="shared" si="96"/>
        <v>13.112</v>
      </c>
      <c r="J136" s="34">
        <f>(6.01/(1.75*9.25))*8.75*12</f>
        <v>38.983783783783785</v>
      </c>
      <c r="K136" s="35">
        <f t="shared" si="98"/>
        <v>511.155372972973</v>
      </c>
      <c r="L136" s="36">
        <f t="shared" si="103"/>
        <v>73.03</v>
      </c>
      <c r="M136" s="37">
        <f>(0.033/(1.75*9.25))*8.75*12</f>
        <v>0.21405405405405403</v>
      </c>
      <c r="N136" s="37">
        <f t="shared" si="100"/>
        <v>2.8066767567567563</v>
      </c>
      <c r="O136" s="35">
        <f t="shared" si="101"/>
        <v>204.97160354594592</v>
      </c>
      <c r="P136" s="38">
        <f t="shared" si="102"/>
        <v>716.12697651891892</v>
      </c>
      <c r="Q136" s="39"/>
    </row>
    <row r="137" spans="1:17" x14ac:dyDescent="0.25">
      <c r="A137" s="122" t="str">
        <f>IF(TRIM(G137)&lt;&gt;"",COUNTA(G$9:$G137)&amp;"","")</f>
        <v>101</v>
      </c>
      <c r="B137" s="123" t="s">
        <v>471</v>
      </c>
      <c r="C137" s="123" t="s">
        <v>471</v>
      </c>
      <c r="D137" s="50"/>
      <c r="E137" s="89" t="s">
        <v>464</v>
      </c>
      <c r="F137" s="124">
        <v>39.96</v>
      </c>
      <c r="G137" s="125" t="s">
        <v>228</v>
      </c>
      <c r="H137" s="33">
        <v>0.1</v>
      </c>
      <c r="I137" s="82">
        <f t="shared" ref="I137:I141" si="172">IF(F137=0,"",F137+(F137*H137))</f>
        <v>43.956000000000003</v>
      </c>
      <c r="J137" s="34">
        <f>(6.01/(1.75*9.25))*8.75*21</f>
        <v>68.221621621621622</v>
      </c>
      <c r="K137" s="35">
        <f t="shared" ref="K137:K141" si="173">IF(F137=0,"",J137*I137)</f>
        <v>2998.7496000000001</v>
      </c>
      <c r="L137" s="36">
        <f t="shared" ref="L137:L141" si="174">IF(F137=0,"",L$14)</f>
        <v>73.03</v>
      </c>
      <c r="M137" s="37">
        <f>(0.033/(1.75*9.25))*8.75*21</f>
        <v>0.37459459459459454</v>
      </c>
      <c r="N137" s="37">
        <f t="shared" ref="N137:N141" si="175">IF(F137=0,"",M137*I137)</f>
        <v>16.465679999999999</v>
      </c>
      <c r="O137" s="35">
        <f t="shared" ref="O137:O141" si="176">IF(F137=0,"",N137*L137)</f>
        <v>1202.4886104</v>
      </c>
      <c r="P137" s="38">
        <f t="shared" ref="P137:P141" si="177">IF(F137=0,"",K137+O137)</f>
        <v>4201.2382103999998</v>
      </c>
      <c r="Q137" s="39"/>
    </row>
    <row r="138" spans="1:17" ht="240" x14ac:dyDescent="0.25">
      <c r="A138" s="122" t="str">
        <f>IF(TRIM(G138)&lt;&gt;"",COUNTA(G$9:$G138)&amp;"","")</f>
        <v>102</v>
      </c>
      <c r="B138" s="123" t="s">
        <v>471</v>
      </c>
      <c r="C138" s="123" t="s">
        <v>471</v>
      </c>
      <c r="D138" s="50"/>
      <c r="E138" s="89" t="s">
        <v>575</v>
      </c>
      <c r="F138" s="124">
        <v>3300.46</v>
      </c>
      <c r="G138" s="125" t="s">
        <v>228</v>
      </c>
      <c r="H138" s="33">
        <v>0.1</v>
      </c>
      <c r="I138" s="82">
        <f t="shared" si="172"/>
        <v>3630.5060000000003</v>
      </c>
      <c r="J138" s="34">
        <v>3.43</v>
      </c>
      <c r="K138" s="35">
        <f t="shared" si="173"/>
        <v>12452.635580000002</v>
      </c>
      <c r="L138" s="36">
        <f t="shared" si="174"/>
        <v>73.03</v>
      </c>
      <c r="M138" s="37">
        <v>5.2999999999999999E-2</v>
      </c>
      <c r="N138" s="37">
        <f t="shared" si="175"/>
        <v>192.41681800000001</v>
      </c>
      <c r="O138" s="35">
        <f t="shared" si="176"/>
        <v>14052.200218540002</v>
      </c>
      <c r="P138" s="38">
        <f t="shared" si="177"/>
        <v>26504.835798540003</v>
      </c>
      <c r="Q138" s="39"/>
    </row>
    <row r="139" spans="1:17" x14ac:dyDescent="0.25">
      <c r="A139" s="122" t="str">
        <f>IF(TRIM(G139)&lt;&gt;"",COUNTA(G$9:$G139)&amp;"","")</f>
        <v>103</v>
      </c>
      <c r="B139" s="123" t="s">
        <v>471</v>
      </c>
      <c r="C139" s="123" t="s">
        <v>471</v>
      </c>
      <c r="D139" s="50"/>
      <c r="E139" s="89" t="s">
        <v>447</v>
      </c>
      <c r="F139" s="124">
        <v>462</v>
      </c>
      <c r="G139" s="125" t="s">
        <v>228</v>
      </c>
      <c r="H139" s="33">
        <v>0.1</v>
      </c>
      <c r="I139" s="82">
        <f t="shared" ref="I139" si="178">IF(F139=0,"",F139+(F139*H139))</f>
        <v>508.2</v>
      </c>
      <c r="J139" s="34">
        <v>3.43</v>
      </c>
      <c r="K139" s="35">
        <f t="shared" ref="K139" si="179">IF(F139=0,"",J139*I139)</f>
        <v>1743.126</v>
      </c>
      <c r="L139" s="36">
        <f t="shared" ref="L139" si="180">IF(F139=0,"",L$14)</f>
        <v>73.03</v>
      </c>
      <c r="M139" s="37">
        <v>5.2999999999999999E-2</v>
      </c>
      <c r="N139" s="37">
        <f t="shared" ref="N139" si="181">IF(F139=0,"",M139*I139)</f>
        <v>26.9346</v>
      </c>
      <c r="O139" s="35">
        <f t="shared" ref="O139" si="182">IF(F139=0,"",N139*L139)</f>
        <v>1967.0338380000001</v>
      </c>
      <c r="P139" s="38">
        <f t="shared" ref="P139" si="183">IF(F139=0,"",K139+O139)</f>
        <v>3710.159838</v>
      </c>
      <c r="Q139" s="39"/>
    </row>
    <row r="140" spans="1:17" x14ac:dyDescent="0.25">
      <c r="A140" s="122" t="str">
        <f>IF(TRIM(G140)&lt;&gt;"",COUNTA(G$9:$G140)&amp;"","")</f>
        <v>104</v>
      </c>
      <c r="B140" s="123" t="s">
        <v>471</v>
      </c>
      <c r="C140" s="123" t="s">
        <v>471</v>
      </c>
      <c r="D140" s="50"/>
      <c r="E140" s="89" t="s">
        <v>481</v>
      </c>
      <c r="F140" s="124">
        <v>173.71</v>
      </c>
      <c r="G140" s="125" t="s">
        <v>228</v>
      </c>
      <c r="H140" s="33">
        <v>0.1</v>
      </c>
      <c r="I140" s="82">
        <f t="shared" si="172"/>
        <v>191.08100000000002</v>
      </c>
      <c r="J140" s="34">
        <v>3.43</v>
      </c>
      <c r="K140" s="35">
        <f t="shared" si="173"/>
        <v>655.4078300000001</v>
      </c>
      <c r="L140" s="36">
        <f t="shared" si="174"/>
        <v>73.03</v>
      </c>
      <c r="M140" s="37">
        <v>5.2999999999999999E-2</v>
      </c>
      <c r="N140" s="37">
        <f t="shared" si="175"/>
        <v>10.127293</v>
      </c>
      <c r="O140" s="35">
        <f t="shared" si="176"/>
        <v>739.59620778999999</v>
      </c>
      <c r="P140" s="38">
        <f t="shared" si="177"/>
        <v>1395.00403779</v>
      </c>
      <c r="Q140" s="39"/>
    </row>
    <row r="141" spans="1:17" x14ac:dyDescent="0.25">
      <c r="A141" s="122" t="str">
        <f>IF(TRIM(G141)&lt;&gt;"",COUNTA(G$9:$G141)&amp;"","")</f>
        <v/>
      </c>
      <c r="B141" s="123"/>
      <c r="C141" s="123"/>
      <c r="D141" s="50"/>
      <c r="E141" s="198" t="s">
        <v>465</v>
      </c>
      <c r="F141" s="124"/>
      <c r="G141" s="125"/>
      <c r="H141" s="33" t="str">
        <f t="shared" ref="H141" si="184">IF(F141=0,"",0)</f>
        <v/>
      </c>
      <c r="I141" s="82" t="str">
        <f t="shared" si="172"/>
        <v/>
      </c>
      <c r="J141" s="34" t="str">
        <f t="shared" ref="J141" si="185">IF(F141=0,"",0)</f>
        <v/>
      </c>
      <c r="K141" s="35" t="str">
        <f t="shared" si="173"/>
        <v/>
      </c>
      <c r="L141" s="36" t="str">
        <f t="shared" si="174"/>
        <v/>
      </c>
      <c r="M141" s="37" t="str">
        <f t="shared" ref="M141" si="186">IF(F141=0,"",0)</f>
        <v/>
      </c>
      <c r="N141" s="37" t="str">
        <f t="shared" si="175"/>
        <v/>
      </c>
      <c r="O141" s="35" t="str">
        <f t="shared" si="176"/>
        <v/>
      </c>
      <c r="P141" s="38" t="str">
        <f t="shared" si="177"/>
        <v/>
      </c>
      <c r="Q141" s="39"/>
    </row>
    <row r="142" spans="1:17" x14ac:dyDescent="0.25">
      <c r="A142" s="122" t="str">
        <f>IF(TRIM(G142)&lt;&gt;"",COUNTA(G$9:$G142)&amp;"","")</f>
        <v>105</v>
      </c>
      <c r="B142" s="123" t="s">
        <v>471</v>
      </c>
      <c r="C142" s="123" t="s">
        <v>471</v>
      </c>
      <c r="D142" s="50"/>
      <c r="E142" s="89" t="s">
        <v>732</v>
      </c>
      <c r="F142" s="124">
        <v>38.200000000000003</v>
      </c>
      <c r="G142" s="125" t="s">
        <v>228</v>
      </c>
      <c r="H142" s="33">
        <v>0.1</v>
      </c>
      <c r="I142" s="82">
        <f t="shared" si="96"/>
        <v>42.02</v>
      </c>
      <c r="J142" s="34">
        <f>14.46/60*72</f>
        <v>17.352</v>
      </c>
      <c r="K142" s="35">
        <f t="shared" si="98"/>
        <v>729.1310400000001</v>
      </c>
      <c r="L142" s="36">
        <f t="shared" si="103"/>
        <v>73.03</v>
      </c>
      <c r="M142" s="37">
        <f>0.08/60*72</f>
        <v>9.6000000000000002E-2</v>
      </c>
      <c r="N142" s="37">
        <f t="shared" si="100"/>
        <v>4.0339200000000002</v>
      </c>
      <c r="O142" s="35">
        <f t="shared" si="101"/>
        <v>294.59717760000001</v>
      </c>
      <c r="P142" s="38">
        <f t="shared" si="102"/>
        <v>1023.7282176000001</v>
      </c>
      <c r="Q142" s="39"/>
    </row>
    <row r="143" spans="1:17" x14ac:dyDescent="0.25">
      <c r="A143" s="122" t="str">
        <f>IF(TRIM(G143)&lt;&gt;"",COUNTA(G$9:$G143)&amp;"","")</f>
        <v>106</v>
      </c>
      <c r="B143" s="123" t="s">
        <v>471</v>
      </c>
      <c r="C143" s="123" t="s">
        <v>471</v>
      </c>
      <c r="D143" s="50"/>
      <c r="E143" s="89" t="s">
        <v>733</v>
      </c>
      <c r="F143" s="124">
        <v>25.81</v>
      </c>
      <c r="G143" s="125" t="s">
        <v>228</v>
      </c>
      <c r="H143" s="33">
        <v>0.1</v>
      </c>
      <c r="I143" s="82">
        <f t="shared" si="96"/>
        <v>28.390999999999998</v>
      </c>
      <c r="J143" s="34">
        <v>14.46</v>
      </c>
      <c r="K143" s="35">
        <f t="shared" si="98"/>
        <v>410.53386</v>
      </c>
      <c r="L143" s="36">
        <f t="shared" si="103"/>
        <v>73.03</v>
      </c>
      <c r="M143" s="37">
        <v>0.08</v>
      </c>
      <c r="N143" s="37">
        <f t="shared" si="100"/>
        <v>2.27128</v>
      </c>
      <c r="O143" s="35">
        <f t="shared" si="101"/>
        <v>165.8715784</v>
      </c>
      <c r="P143" s="38">
        <f t="shared" si="102"/>
        <v>576.40543839999998</v>
      </c>
      <c r="Q143" s="39"/>
    </row>
    <row r="144" spans="1:17" x14ac:dyDescent="0.25">
      <c r="A144" s="122" t="str">
        <f>IF(TRIM(G144)&lt;&gt;"",COUNTA(G$9:$G144)&amp;"","")</f>
        <v>107</v>
      </c>
      <c r="B144" s="123" t="s">
        <v>471</v>
      </c>
      <c r="C144" s="123" t="s">
        <v>471</v>
      </c>
      <c r="D144" s="50"/>
      <c r="E144" s="89" t="s">
        <v>734</v>
      </c>
      <c r="F144" s="124">
        <v>19.66</v>
      </c>
      <c r="G144" s="125" t="s">
        <v>228</v>
      </c>
      <c r="H144" s="33">
        <v>0.1</v>
      </c>
      <c r="I144" s="82">
        <f t="shared" si="96"/>
        <v>21.626000000000001</v>
      </c>
      <c r="J144" s="34">
        <f>14.46/60*84</f>
        <v>20.244000000000003</v>
      </c>
      <c r="K144" s="35">
        <f t="shared" si="98"/>
        <v>437.7967440000001</v>
      </c>
      <c r="L144" s="36">
        <f t="shared" si="103"/>
        <v>73.03</v>
      </c>
      <c r="M144" s="37">
        <f>0.08/60*84</f>
        <v>0.112</v>
      </c>
      <c r="N144" s="37">
        <f t="shared" si="100"/>
        <v>2.4221120000000003</v>
      </c>
      <c r="O144" s="35">
        <f t="shared" si="101"/>
        <v>176.88683936000001</v>
      </c>
      <c r="P144" s="38">
        <f t="shared" si="102"/>
        <v>614.68358336000006</v>
      </c>
      <c r="Q144" s="39"/>
    </row>
    <row r="145" spans="1:17" ht="60" x14ac:dyDescent="0.25">
      <c r="A145" s="122" t="str">
        <f>IF(TRIM(G145)&lt;&gt;"",COUNTA(G$9:$G145)&amp;"","")</f>
        <v>108</v>
      </c>
      <c r="B145" s="123" t="s">
        <v>471</v>
      </c>
      <c r="C145" s="123" t="s">
        <v>471</v>
      </c>
      <c r="D145" s="50"/>
      <c r="E145" s="89" t="s">
        <v>576</v>
      </c>
      <c r="F145" s="124">
        <v>196.29</v>
      </c>
      <c r="G145" s="125" t="s">
        <v>228</v>
      </c>
      <c r="H145" s="33">
        <v>0.1</v>
      </c>
      <c r="I145" s="82">
        <f t="shared" ref="I145:I147" si="187">IF(F145=0,"",F145+(F145*H145))</f>
        <v>215.91899999999998</v>
      </c>
      <c r="J145" s="34">
        <v>7.8</v>
      </c>
      <c r="K145" s="35">
        <f t="shared" ref="K145:K147" si="188">IF(F145=0,"",J145*I145)</f>
        <v>1684.1681999999998</v>
      </c>
      <c r="L145" s="36">
        <f t="shared" ref="L145:L147" si="189">IF(F145=0,"",L$14)</f>
        <v>73.03</v>
      </c>
      <c r="M145" s="37">
        <v>4.2000000000000003E-2</v>
      </c>
      <c r="N145" s="37">
        <f t="shared" ref="N145:N147" si="190">IF(F145=0,"",M145*I145)</f>
        <v>9.0685979999999997</v>
      </c>
      <c r="O145" s="35">
        <f t="shared" ref="O145:O147" si="191">IF(F145=0,"",N145*L145)</f>
        <v>662.27971193999997</v>
      </c>
      <c r="P145" s="38">
        <f t="shared" ref="P145:P147" si="192">IF(F145=0,"",K145+O145)</f>
        <v>2346.4479119399998</v>
      </c>
      <c r="Q145" s="39"/>
    </row>
    <row r="146" spans="1:17" x14ac:dyDescent="0.25">
      <c r="A146" s="122" t="str">
        <f>IF(TRIM(G146)&lt;&gt;"",COUNTA(G$9:$G146)&amp;"","")</f>
        <v>109</v>
      </c>
      <c r="B146" s="123" t="s">
        <v>471</v>
      </c>
      <c r="C146" s="123" t="s">
        <v>471</v>
      </c>
      <c r="D146" s="50"/>
      <c r="E146" s="89" t="s">
        <v>466</v>
      </c>
      <c r="F146" s="124">
        <v>79.77</v>
      </c>
      <c r="G146" s="125" t="s">
        <v>228</v>
      </c>
      <c r="H146" s="33">
        <v>0.1</v>
      </c>
      <c r="I146" s="82">
        <f t="shared" si="187"/>
        <v>87.747</v>
      </c>
      <c r="J146" s="34">
        <v>2.65</v>
      </c>
      <c r="K146" s="35">
        <f t="shared" si="188"/>
        <v>232.52955</v>
      </c>
      <c r="L146" s="36">
        <f t="shared" si="189"/>
        <v>73.03</v>
      </c>
      <c r="M146" s="37">
        <v>4.4999999999999998E-2</v>
      </c>
      <c r="N146" s="37">
        <f t="shared" si="190"/>
        <v>3.9486149999999998</v>
      </c>
      <c r="O146" s="35">
        <f t="shared" si="191"/>
        <v>288.36735345</v>
      </c>
      <c r="P146" s="38">
        <f t="shared" si="192"/>
        <v>520.89690344999997</v>
      </c>
      <c r="Q146" s="39"/>
    </row>
    <row r="147" spans="1:17" x14ac:dyDescent="0.25">
      <c r="A147" s="122" t="str">
        <f>IF(TRIM(G147)&lt;&gt;"",COUNTA(G$9:$G147)&amp;"","")</f>
        <v>110</v>
      </c>
      <c r="B147" s="123" t="s">
        <v>471</v>
      </c>
      <c r="C147" s="123" t="s">
        <v>471</v>
      </c>
      <c r="D147" s="50"/>
      <c r="E147" s="89" t="s">
        <v>467</v>
      </c>
      <c r="F147" s="124">
        <v>313.68</v>
      </c>
      <c r="G147" s="125" t="s">
        <v>228</v>
      </c>
      <c r="H147" s="33">
        <v>0.1</v>
      </c>
      <c r="I147" s="82">
        <f t="shared" si="187"/>
        <v>345.048</v>
      </c>
      <c r="J147" s="34">
        <v>11.48</v>
      </c>
      <c r="K147" s="35">
        <f t="shared" si="188"/>
        <v>3961.1510400000002</v>
      </c>
      <c r="L147" s="36">
        <f t="shared" si="189"/>
        <v>73.03</v>
      </c>
      <c r="M147" s="37">
        <v>2.9000000000000001E-2</v>
      </c>
      <c r="N147" s="37">
        <f t="shared" si="190"/>
        <v>10.006392</v>
      </c>
      <c r="O147" s="35">
        <f t="shared" si="191"/>
        <v>730.76680776000001</v>
      </c>
      <c r="P147" s="38">
        <f t="shared" si="192"/>
        <v>4691.9178477599999</v>
      </c>
      <c r="Q147" s="39"/>
    </row>
    <row r="148" spans="1:17" x14ac:dyDescent="0.25">
      <c r="A148" s="122" t="str">
        <f>IF(TRIM(G148)&lt;&gt;"",COUNTA(G$9:$G148)&amp;"","")</f>
        <v>111</v>
      </c>
      <c r="B148" s="123" t="s">
        <v>471</v>
      </c>
      <c r="C148" s="123" t="s">
        <v>471</v>
      </c>
      <c r="D148" s="50"/>
      <c r="E148" s="89" t="s">
        <v>468</v>
      </c>
      <c r="F148" s="124">
        <v>78.959999999999994</v>
      </c>
      <c r="G148" s="125" t="s">
        <v>228</v>
      </c>
      <c r="H148" s="33">
        <v>0.1</v>
      </c>
      <c r="I148" s="82">
        <f t="shared" si="96"/>
        <v>86.855999999999995</v>
      </c>
      <c r="J148" s="34">
        <v>9.64</v>
      </c>
      <c r="K148" s="35">
        <f t="shared" si="98"/>
        <v>837.29183999999998</v>
      </c>
      <c r="L148" s="36">
        <f t="shared" si="103"/>
        <v>73.03</v>
      </c>
      <c r="M148" s="37">
        <v>4.3999999999999997E-2</v>
      </c>
      <c r="N148" s="37">
        <f t="shared" si="100"/>
        <v>3.8216639999999997</v>
      </c>
      <c r="O148" s="35">
        <f t="shared" si="101"/>
        <v>279.09612191999997</v>
      </c>
      <c r="P148" s="38">
        <f t="shared" si="102"/>
        <v>1116.38796192</v>
      </c>
      <c r="Q148" s="39"/>
    </row>
    <row r="149" spans="1:17" x14ac:dyDescent="0.25">
      <c r="A149" s="122" t="str">
        <f>IF(TRIM(G149)&lt;&gt;"",COUNTA(G$9:$G149)&amp;"","")</f>
        <v>112</v>
      </c>
      <c r="B149" s="123" t="s">
        <v>471</v>
      </c>
      <c r="C149" s="123" t="s">
        <v>471</v>
      </c>
      <c r="D149" s="50"/>
      <c r="E149" s="89" t="s">
        <v>735</v>
      </c>
      <c r="F149" s="124">
        <v>13</v>
      </c>
      <c r="G149" s="125" t="s">
        <v>250</v>
      </c>
      <c r="H149" s="33">
        <f>IF(F149=0,"",0)</f>
        <v>0</v>
      </c>
      <c r="I149" s="82">
        <f>IF(F149=0,"",F149+(F149*H149))</f>
        <v>13</v>
      </c>
      <c r="J149" s="34">
        <f>3.83*5</f>
        <v>19.149999999999999</v>
      </c>
      <c r="K149" s="35">
        <f>IF(F149=0,"",J149*I149)</f>
        <v>248.95</v>
      </c>
      <c r="L149" s="36">
        <f>IF(F149=0,"",L$14)</f>
        <v>73.03</v>
      </c>
      <c r="M149" s="37">
        <f>0.036*5</f>
        <v>0.18</v>
      </c>
      <c r="N149" s="37">
        <f>IF(F149=0,"",M149*I149)</f>
        <v>2.34</v>
      </c>
      <c r="O149" s="35">
        <f>IF(F149=0,"",N149*L149)</f>
        <v>170.89019999999999</v>
      </c>
      <c r="P149" s="38">
        <f>IF(F149=0,"",K149+O149)</f>
        <v>419.84019999999998</v>
      </c>
      <c r="Q149" s="39"/>
    </row>
    <row r="150" spans="1:17" x14ac:dyDescent="0.25">
      <c r="A150" s="122" t="str">
        <f>IF(TRIM(G150)&lt;&gt;"",COUNTA(G$9:$G150)&amp;"","")</f>
        <v/>
      </c>
      <c r="B150" s="123"/>
      <c r="C150" s="123"/>
      <c r="D150" s="50"/>
      <c r="E150" s="198" t="s">
        <v>387</v>
      </c>
      <c r="F150" s="124"/>
      <c r="G150" s="125"/>
      <c r="H150" s="33" t="str">
        <f t="shared" si="95"/>
        <v/>
      </c>
      <c r="I150" s="82" t="str">
        <f t="shared" si="96"/>
        <v/>
      </c>
      <c r="J150" s="34" t="str">
        <f t="shared" si="97"/>
        <v/>
      </c>
      <c r="K150" s="35" t="str">
        <f t="shared" si="98"/>
        <v/>
      </c>
      <c r="L150" s="36" t="str">
        <f t="shared" si="103"/>
        <v/>
      </c>
      <c r="M150" s="37" t="str">
        <f t="shared" si="99"/>
        <v/>
      </c>
      <c r="N150" s="37" t="str">
        <f t="shared" si="100"/>
        <v/>
      </c>
      <c r="O150" s="35" t="str">
        <f t="shared" si="101"/>
        <v/>
      </c>
      <c r="P150" s="38" t="str">
        <f t="shared" si="102"/>
        <v/>
      </c>
      <c r="Q150" s="39"/>
    </row>
    <row r="151" spans="1:17" x14ac:dyDescent="0.25">
      <c r="A151" s="122" t="str">
        <f>IF(TRIM(G151)&lt;&gt;"",COUNTA(G$9:$G151)&amp;"","")</f>
        <v>113</v>
      </c>
      <c r="B151" s="123" t="s">
        <v>471</v>
      </c>
      <c r="C151" s="123" t="s">
        <v>471</v>
      </c>
      <c r="D151" s="50"/>
      <c r="E151" s="375" t="s">
        <v>423</v>
      </c>
      <c r="F151" s="376">
        <v>47</v>
      </c>
      <c r="G151" s="377" t="s">
        <v>250</v>
      </c>
      <c r="H151" s="33">
        <f t="shared" si="95"/>
        <v>0</v>
      </c>
      <c r="I151" s="82">
        <f t="shared" si="96"/>
        <v>47</v>
      </c>
      <c r="J151" s="34">
        <v>10.45</v>
      </c>
      <c r="K151" s="35">
        <f t="shared" si="98"/>
        <v>491.15</v>
      </c>
      <c r="L151" s="36">
        <f t="shared" si="103"/>
        <v>73.03</v>
      </c>
      <c r="M151" s="37">
        <v>0.05</v>
      </c>
      <c r="N151" s="37">
        <f t="shared" si="100"/>
        <v>2.35</v>
      </c>
      <c r="O151" s="35">
        <f t="shared" si="101"/>
        <v>171.62050000000002</v>
      </c>
      <c r="P151" s="38">
        <f t="shared" si="102"/>
        <v>662.77049999999997</v>
      </c>
      <c r="Q151" s="39"/>
    </row>
    <row r="152" spans="1:17" x14ac:dyDescent="0.25">
      <c r="A152" s="122" t="str">
        <f>IF(TRIM(G152)&lt;&gt;"",COUNTA(G$9:$G152)&amp;"","")</f>
        <v>114</v>
      </c>
      <c r="B152" s="123" t="s">
        <v>471</v>
      </c>
      <c r="C152" s="123" t="s">
        <v>471</v>
      </c>
      <c r="D152" s="50"/>
      <c r="E152" s="89" t="s">
        <v>444</v>
      </c>
      <c r="F152" s="124">
        <f>2.044*86*1</f>
        <v>175.78399999999999</v>
      </c>
      <c r="G152" s="106" t="s">
        <v>570</v>
      </c>
      <c r="H152" s="33">
        <v>0.1</v>
      </c>
      <c r="I152" s="82">
        <f t="shared" si="96"/>
        <v>193.36239999999998</v>
      </c>
      <c r="J152" s="34">
        <v>1.83</v>
      </c>
      <c r="K152" s="35">
        <f t="shared" si="98"/>
        <v>353.85319199999998</v>
      </c>
      <c r="L152" s="36">
        <f t="shared" si="103"/>
        <v>73.03</v>
      </c>
      <c r="M152" s="37">
        <v>1.6E-2</v>
      </c>
      <c r="N152" s="37">
        <f t="shared" si="100"/>
        <v>3.0937983999999998</v>
      </c>
      <c r="O152" s="35">
        <f t="shared" si="101"/>
        <v>225.94009715199999</v>
      </c>
      <c r="P152" s="38">
        <f t="shared" si="102"/>
        <v>579.79328915199994</v>
      </c>
      <c r="Q152" s="39"/>
    </row>
    <row r="153" spans="1:17" x14ac:dyDescent="0.25">
      <c r="A153" s="122" t="str">
        <f>IF(TRIM(G153)&lt;&gt;"",COUNTA(G$9:$G153)&amp;"","")</f>
        <v>115</v>
      </c>
      <c r="B153" s="123" t="s">
        <v>471</v>
      </c>
      <c r="C153" s="123" t="s">
        <v>471</v>
      </c>
      <c r="D153" s="50"/>
      <c r="E153" s="375" t="s">
        <v>453</v>
      </c>
      <c r="F153" s="376">
        <v>8</v>
      </c>
      <c r="G153" s="377" t="s">
        <v>250</v>
      </c>
      <c r="H153" s="33">
        <f>IF(F153=0,"",0)</f>
        <v>0</v>
      </c>
      <c r="I153" s="82">
        <f>IF(F153=0,"",F153+(F153*H153))</f>
        <v>8</v>
      </c>
      <c r="J153" s="34">
        <v>114.5</v>
      </c>
      <c r="K153" s="35">
        <f>IF(F153=0,"",J153*I153)</f>
        <v>916</v>
      </c>
      <c r="L153" s="36">
        <f>IF(F153=0,"",L$14)</f>
        <v>73.03</v>
      </c>
      <c r="M153" s="37">
        <v>0.05</v>
      </c>
      <c r="N153" s="37">
        <f>IF(F153=0,"",M153*I153)</f>
        <v>0.4</v>
      </c>
      <c r="O153" s="35">
        <f>IF(F153=0,"",N153*L153)</f>
        <v>29.212000000000003</v>
      </c>
      <c r="P153" s="38">
        <f>IF(F153=0,"",K153+O153)</f>
        <v>945.21199999999999</v>
      </c>
      <c r="Q153" s="39"/>
    </row>
    <row r="154" spans="1:17" s="28" customFormat="1" ht="19.149999999999999" customHeight="1" x14ac:dyDescent="0.25">
      <c r="A154" s="122" t="str">
        <f>IF(TRIM(G154)&lt;&gt;"",COUNTA(G$9:$G154)&amp;"","")</f>
        <v/>
      </c>
      <c r="B154" s="49"/>
      <c r="C154" s="49"/>
      <c r="D154" s="50" t="s">
        <v>80</v>
      </c>
      <c r="E154" s="156" t="s">
        <v>79</v>
      </c>
      <c r="F154" s="124"/>
      <c r="G154" s="125"/>
      <c r="H154" s="33" t="str">
        <f t="shared" si="95"/>
        <v/>
      </c>
      <c r="I154" s="82" t="str">
        <f t="shared" si="96"/>
        <v/>
      </c>
      <c r="J154" s="34" t="str">
        <f t="shared" si="97"/>
        <v/>
      </c>
      <c r="K154" s="35" t="str">
        <f t="shared" si="98"/>
        <v/>
      </c>
      <c r="L154" s="36" t="str">
        <f t="shared" si="103"/>
        <v/>
      </c>
      <c r="M154" s="37" t="str">
        <f t="shared" si="99"/>
        <v/>
      </c>
      <c r="N154" s="37" t="str">
        <f t="shared" si="100"/>
        <v/>
      </c>
      <c r="O154" s="35" t="str">
        <f t="shared" si="101"/>
        <v/>
      </c>
      <c r="P154" s="38" t="str">
        <f t="shared" si="102"/>
        <v/>
      </c>
      <c r="Q154" s="39"/>
    </row>
    <row r="155" spans="1:17" x14ac:dyDescent="0.25">
      <c r="A155" s="122" t="str">
        <f>IF(TRIM(G155)&lt;&gt;"",COUNTA(G$9:$G155)&amp;"","")</f>
        <v>116</v>
      </c>
      <c r="B155" s="123" t="s">
        <v>256</v>
      </c>
      <c r="C155" s="123" t="s">
        <v>256</v>
      </c>
      <c r="D155" s="50"/>
      <c r="E155" s="89" t="s">
        <v>577</v>
      </c>
      <c r="F155" s="124">
        <f>2711</f>
        <v>2711</v>
      </c>
      <c r="G155" s="125" t="s">
        <v>214</v>
      </c>
      <c r="H155" s="33">
        <v>0.1</v>
      </c>
      <c r="I155" s="82">
        <f t="shared" si="96"/>
        <v>2982.1</v>
      </c>
      <c r="J155" s="34">
        <v>1.78</v>
      </c>
      <c r="K155" s="35">
        <f t="shared" si="98"/>
        <v>5308.1379999999999</v>
      </c>
      <c r="L155" s="36">
        <f t="shared" si="103"/>
        <v>73.03</v>
      </c>
      <c r="M155" s="37">
        <v>1.2999999999999999E-2</v>
      </c>
      <c r="N155" s="37">
        <f t="shared" si="100"/>
        <v>38.767299999999999</v>
      </c>
      <c r="O155" s="35">
        <f t="shared" si="101"/>
        <v>2831.1759189999998</v>
      </c>
      <c r="P155" s="38">
        <f t="shared" si="102"/>
        <v>8139.3139190000002</v>
      </c>
      <c r="Q155" s="39"/>
    </row>
    <row r="156" spans="1:17" x14ac:dyDescent="0.25">
      <c r="A156" s="122" t="str">
        <f>IF(TRIM(G156)&lt;&gt;"",COUNTA(G$9:$G156)&amp;"","")</f>
        <v>117</v>
      </c>
      <c r="B156" s="123" t="s">
        <v>256</v>
      </c>
      <c r="C156" s="123" t="s">
        <v>256</v>
      </c>
      <c r="D156" s="50"/>
      <c r="E156" s="89" t="s">
        <v>578</v>
      </c>
      <c r="F156" s="124">
        <f>733</f>
        <v>733</v>
      </c>
      <c r="G156" s="125" t="s">
        <v>214</v>
      </c>
      <c r="H156" s="33">
        <v>0.1</v>
      </c>
      <c r="I156" s="82">
        <f t="shared" si="96"/>
        <v>806.3</v>
      </c>
      <c r="J156" s="34">
        <v>1.1100000000000001</v>
      </c>
      <c r="K156" s="35">
        <f t="shared" si="98"/>
        <v>894.99300000000005</v>
      </c>
      <c r="L156" s="36">
        <f t="shared" si="103"/>
        <v>73.03</v>
      </c>
      <c r="M156" s="37">
        <v>1.2E-2</v>
      </c>
      <c r="N156" s="37">
        <f t="shared" si="100"/>
        <v>9.6755999999999993</v>
      </c>
      <c r="O156" s="35">
        <f t="shared" si="101"/>
        <v>706.60906799999998</v>
      </c>
      <c r="P156" s="38">
        <f t="shared" si="102"/>
        <v>1601.6020680000001</v>
      </c>
      <c r="Q156" s="39"/>
    </row>
    <row r="157" spans="1:17" x14ac:dyDescent="0.25">
      <c r="A157" s="122" t="str">
        <f>IF(TRIM(G157)&lt;&gt;"",COUNTA(G$9:$G157)&amp;"","")</f>
        <v>118</v>
      </c>
      <c r="B157" s="123" t="s">
        <v>256</v>
      </c>
      <c r="C157" s="123" t="s">
        <v>256</v>
      </c>
      <c r="D157" s="50"/>
      <c r="E157" s="89" t="s">
        <v>579</v>
      </c>
      <c r="F157" s="124">
        <f>4355</f>
        <v>4355</v>
      </c>
      <c r="G157" s="125" t="s">
        <v>214</v>
      </c>
      <c r="H157" s="33">
        <v>0.1</v>
      </c>
      <c r="I157" s="82">
        <f t="shared" si="96"/>
        <v>4790.5</v>
      </c>
      <c r="J157" s="34">
        <v>1.1100000000000001</v>
      </c>
      <c r="K157" s="35">
        <f t="shared" si="98"/>
        <v>5317.4550000000008</v>
      </c>
      <c r="L157" s="36">
        <f t="shared" si="103"/>
        <v>73.03</v>
      </c>
      <c r="M157" s="37">
        <v>1.2E-2</v>
      </c>
      <c r="N157" s="37">
        <f t="shared" si="100"/>
        <v>57.486000000000004</v>
      </c>
      <c r="O157" s="35">
        <f t="shared" si="101"/>
        <v>4198.2025800000001</v>
      </c>
      <c r="P157" s="38">
        <f t="shared" si="102"/>
        <v>9515.657580000001</v>
      </c>
      <c r="Q157" s="39"/>
    </row>
    <row r="158" spans="1:17" s="28" customFormat="1" ht="19.149999999999999" customHeight="1" x14ac:dyDescent="0.25">
      <c r="A158" s="122" t="str">
        <f>IF(TRIM(G158)&lt;&gt;"",COUNTA(G$9:$G158)&amp;"","")</f>
        <v/>
      </c>
      <c r="B158" s="49"/>
      <c r="C158" s="49"/>
      <c r="D158" s="50" t="s">
        <v>82</v>
      </c>
      <c r="E158" s="156" t="s">
        <v>81</v>
      </c>
      <c r="F158" s="124"/>
      <c r="G158" s="125"/>
      <c r="H158" s="33" t="str">
        <f t="shared" si="95"/>
        <v/>
      </c>
      <c r="I158" s="82" t="str">
        <f t="shared" si="96"/>
        <v/>
      </c>
      <c r="J158" s="34" t="str">
        <f t="shared" si="97"/>
        <v/>
      </c>
      <c r="K158" s="35" t="str">
        <f t="shared" si="98"/>
        <v/>
      </c>
      <c r="L158" s="36" t="str">
        <f t="shared" si="103"/>
        <v/>
      </c>
      <c r="M158" s="37" t="str">
        <f t="shared" si="99"/>
        <v/>
      </c>
      <c r="N158" s="37" t="str">
        <f t="shared" si="100"/>
        <v/>
      </c>
      <c r="O158" s="35" t="str">
        <f t="shared" si="101"/>
        <v/>
      </c>
      <c r="P158" s="38" t="str">
        <f t="shared" si="102"/>
        <v/>
      </c>
      <c r="Q158" s="39"/>
    </row>
    <row r="159" spans="1:17" x14ac:dyDescent="0.25">
      <c r="A159" s="122" t="str">
        <f>IF(TRIM(G159)&lt;&gt;"",COUNTA(G$9:$G159)&amp;"","")</f>
        <v>119</v>
      </c>
      <c r="B159" s="123" t="s">
        <v>698</v>
      </c>
      <c r="C159" s="123" t="s">
        <v>698</v>
      </c>
      <c r="D159" s="50"/>
      <c r="E159" s="205" t="s">
        <v>700</v>
      </c>
      <c r="F159" s="124">
        <v>165.64</v>
      </c>
      <c r="G159" s="125" t="s">
        <v>228</v>
      </c>
      <c r="H159" s="33">
        <v>0.1</v>
      </c>
      <c r="I159" s="82">
        <f t="shared" si="96"/>
        <v>182.20399999999998</v>
      </c>
      <c r="J159" s="34">
        <v>3.47</v>
      </c>
      <c r="K159" s="35">
        <f t="shared" si="98"/>
        <v>632.24788000000001</v>
      </c>
      <c r="L159" s="36">
        <f t="shared" si="103"/>
        <v>73.03</v>
      </c>
      <c r="M159" s="37">
        <v>3.5000000000000003E-2</v>
      </c>
      <c r="N159" s="37">
        <f t="shared" si="100"/>
        <v>6.3771399999999998</v>
      </c>
      <c r="O159" s="35">
        <f t="shared" si="101"/>
        <v>465.72253419999998</v>
      </c>
      <c r="P159" s="38">
        <f t="shared" si="102"/>
        <v>1097.9704142000001</v>
      </c>
      <c r="Q159" s="39"/>
    </row>
    <row r="160" spans="1:17" s="28" customFormat="1" ht="19.149999999999999" customHeight="1" x14ac:dyDescent="0.25">
      <c r="A160" s="122" t="str">
        <f>IF(TRIM(G160)&lt;&gt;"",COUNTA(G$9:$G160)&amp;"","")</f>
        <v/>
      </c>
      <c r="B160" s="49"/>
      <c r="C160" s="49"/>
      <c r="D160" s="50" t="s">
        <v>84</v>
      </c>
      <c r="E160" s="156" t="s">
        <v>83</v>
      </c>
      <c r="F160" s="124"/>
      <c r="G160" s="125"/>
      <c r="H160" s="33" t="str">
        <f t="shared" si="95"/>
        <v/>
      </c>
      <c r="I160" s="82" t="str">
        <f t="shared" si="96"/>
        <v/>
      </c>
      <c r="J160" s="34" t="str">
        <f t="shared" si="97"/>
        <v/>
      </c>
      <c r="K160" s="35" t="str">
        <f t="shared" si="98"/>
        <v/>
      </c>
      <c r="L160" s="36" t="str">
        <f t="shared" si="103"/>
        <v/>
      </c>
      <c r="M160" s="37" t="str">
        <f t="shared" si="99"/>
        <v/>
      </c>
      <c r="N160" s="37" t="str">
        <f t="shared" si="100"/>
        <v/>
      </c>
      <c r="O160" s="35" t="str">
        <f t="shared" si="101"/>
        <v/>
      </c>
      <c r="P160" s="38" t="str">
        <f t="shared" si="102"/>
        <v/>
      </c>
      <c r="Q160" s="39"/>
    </row>
    <row r="161" spans="1:18" x14ac:dyDescent="0.25">
      <c r="A161" s="122" t="str">
        <f>IF(TRIM(G161)&lt;&gt;"",COUNTA(G$9:$G161)&amp;"","")</f>
        <v>120</v>
      </c>
      <c r="B161" s="123" t="s">
        <v>256</v>
      </c>
      <c r="C161" s="123" t="s">
        <v>256</v>
      </c>
      <c r="D161" s="50"/>
      <c r="E161" s="199" t="s">
        <v>236</v>
      </c>
      <c r="F161" s="124">
        <v>588</v>
      </c>
      <c r="G161" s="200" t="s">
        <v>228</v>
      </c>
      <c r="H161" s="33">
        <v>0.1</v>
      </c>
      <c r="I161" s="82">
        <f t="shared" si="96"/>
        <v>646.79999999999995</v>
      </c>
      <c r="J161" s="34">
        <v>2.5</v>
      </c>
      <c r="K161" s="35">
        <f t="shared" si="98"/>
        <v>1617</v>
      </c>
      <c r="L161" s="36">
        <f t="shared" si="103"/>
        <v>73.03</v>
      </c>
      <c r="M161" s="37">
        <v>3.2000000000000001E-2</v>
      </c>
      <c r="N161" s="37">
        <f t="shared" si="100"/>
        <v>20.697599999999998</v>
      </c>
      <c r="O161" s="35">
        <f t="shared" si="101"/>
        <v>1511.5457279999998</v>
      </c>
      <c r="P161" s="38">
        <f t="shared" si="102"/>
        <v>3128.5457280000001</v>
      </c>
      <c r="Q161" s="39"/>
    </row>
    <row r="162" spans="1:18" x14ac:dyDescent="0.25">
      <c r="A162" s="122" t="str">
        <f>IF(TRIM(G162)&lt;&gt;"",COUNTA(G$9:$G162)&amp;"","")</f>
        <v>121</v>
      </c>
      <c r="B162" s="123" t="s">
        <v>256</v>
      </c>
      <c r="C162" s="123" t="s">
        <v>256</v>
      </c>
      <c r="D162" s="50"/>
      <c r="E162" s="199" t="s">
        <v>237</v>
      </c>
      <c r="F162" s="124">
        <v>671.6</v>
      </c>
      <c r="G162" s="200" t="s">
        <v>228</v>
      </c>
      <c r="H162" s="33">
        <v>0.1</v>
      </c>
      <c r="I162" s="82">
        <f t="shared" si="96"/>
        <v>738.76</v>
      </c>
      <c r="J162" s="34">
        <v>2.5</v>
      </c>
      <c r="K162" s="35">
        <f t="shared" si="98"/>
        <v>1846.9</v>
      </c>
      <c r="L162" s="36">
        <f t="shared" si="103"/>
        <v>73.03</v>
      </c>
      <c r="M162" s="37">
        <v>3.2000000000000001E-2</v>
      </c>
      <c r="N162" s="37">
        <f t="shared" si="100"/>
        <v>23.640319999999999</v>
      </c>
      <c r="O162" s="35">
        <f t="shared" si="101"/>
        <v>1726.4525696000001</v>
      </c>
      <c r="P162" s="38">
        <f t="shared" si="102"/>
        <v>3573.3525696000002</v>
      </c>
      <c r="Q162" s="39"/>
    </row>
    <row r="163" spans="1:18" x14ac:dyDescent="0.25">
      <c r="A163" s="122" t="str">
        <f>IF(TRIM(G163)&lt;&gt;"",COUNTA(G$9:$G163)&amp;"","")</f>
        <v>122</v>
      </c>
      <c r="B163" s="123" t="s">
        <v>698</v>
      </c>
      <c r="C163" s="123" t="s">
        <v>698</v>
      </c>
      <c r="D163" s="50"/>
      <c r="E163" s="205" t="s">
        <v>589</v>
      </c>
      <c r="F163" s="124">
        <v>243.21</v>
      </c>
      <c r="G163" s="125" t="s">
        <v>228</v>
      </c>
      <c r="H163" s="33">
        <v>0.1</v>
      </c>
      <c r="I163" s="82">
        <f t="shared" si="96"/>
        <v>267.53100000000001</v>
      </c>
      <c r="J163" s="34">
        <v>0.85</v>
      </c>
      <c r="K163" s="35">
        <f t="shared" si="98"/>
        <v>227.40135000000001</v>
      </c>
      <c r="L163" s="36">
        <f t="shared" si="103"/>
        <v>73.03</v>
      </c>
      <c r="M163" s="37">
        <v>0.04</v>
      </c>
      <c r="N163" s="37">
        <f t="shared" si="100"/>
        <v>10.70124</v>
      </c>
      <c r="O163" s="35">
        <f t="shared" si="101"/>
        <v>781.51155720000008</v>
      </c>
      <c r="P163" s="38">
        <f t="shared" si="102"/>
        <v>1008.9129072000001</v>
      </c>
      <c r="Q163" s="39"/>
    </row>
    <row r="164" spans="1:18" x14ac:dyDescent="0.25">
      <c r="A164" s="122" t="str">
        <f>IF(TRIM(G164)&lt;&gt;"",COUNTA(G$9:$G164)&amp;"","")</f>
        <v>123</v>
      </c>
      <c r="B164" s="123" t="s">
        <v>698</v>
      </c>
      <c r="C164" s="123" t="s">
        <v>698</v>
      </c>
      <c r="D164" s="50"/>
      <c r="E164" s="205" t="s">
        <v>590</v>
      </c>
      <c r="F164" s="124">
        <v>107.66</v>
      </c>
      <c r="G164" s="125" t="s">
        <v>228</v>
      </c>
      <c r="H164" s="33">
        <v>0.1</v>
      </c>
      <c r="I164" s="82">
        <f t="shared" si="96"/>
        <v>118.426</v>
      </c>
      <c r="J164" s="34">
        <v>1.25</v>
      </c>
      <c r="K164" s="35">
        <f t="shared" si="98"/>
        <v>148.0325</v>
      </c>
      <c r="L164" s="36">
        <f t="shared" si="103"/>
        <v>73.03</v>
      </c>
      <c r="M164" s="37">
        <v>3.2000000000000001E-2</v>
      </c>
      <c r="N164" s="37">
        <f t="shared" si="100"/>
        <v>3.7896320000000001</v>
      </c>
      <c r="O164" s="35">
        <f t="shared" si="101"/>
        <v>276.75682496000002</v>
      </c>
      <c r="P164" s="38">
        <f t="shared" si="102"/>
        <v>424.78932496000004</v>
      </c>
      <c r="Q164" s="39"/>
    </row>
    <row r="165" spans="1:18" x14ac:dyDescent="0.25">
      <c r="A165" s="122" t="str">
        <f>IF(TRIM(G165)&lt;&gt;"",COUNTA(G$9:$G165)&amp;"","")</f>
        <v>124</v>
      </c>
      <c r="B165" s="123" t="s">
        <v>698</v>
      </c>
      <c r="C165" s="123" t="s">
        <v>698</v>
      </c>
      <c r="D165" s="50"/>
      <c r="E165" s="205" t="s">
        <v>591</v>
      </c>
      <c r="F165" s="124">
        <v>673.19</v>
      </c>
      <c r="G165" s="125" t="s">
        <v>228</v>
      </c>
      <c r="H165" s="33">
        <v>0.1</v>
      </c>
      <c r="I165" s="82">
        <f t="shared" si="96"/>
        <v>740.50900000000001</v>
      </c>
      <c r="J165" s="34">
        <v>0.35</v>
      </c>
      <c r="K165" s="35">
        <f t="shared" si="98"/>
        <v>259.17815000000002</v>
      </c>
      <c r="L165" s="36">
        <f t="shared" si="103"/>
        <v>73.03</v>
      </c>
      <c r="M165" s="37">
        <v>2.9000000000000001E-2</v>
      </c>
      <c r="N165" s="37">
        <f t="shared" si="100"/>
        <v>21.474761000000001</v>
      </c>
      <c r="O165" s="35">
        <f t="shared" si="101"/>
        <v>1568.3017958300002</v>
      </c>
      <c r="P165" s="38">
        <f t="shared" si="102"/>
        <v>1827.4799458300001</v>
      </c>
      <c r="Q165" s="39"/>
    </row>
    <row r="166" spans="1:18" x14ac:dyDescent="0.25">
      <c r="A166" s="122" t="str">
        <f>IF(TRIM(G166)&lt;&gt;"",COUNTA(G$9:$G166)&amp;"","")</f>
        <v>125</v>
      </c>
      <c r="B166" s="123" t="s">
        <v>698</v>
      </c>
      <c r="C166" s="123" t="s">
        <v>698</v>
      </c>
      <c r="D166" s="50"/>
      <c r="E166" s="205" t="s">
        <v>592</v>
      </c>
      <c r="F166" s="124">
        <v>229.87</v>
      </c>
      <c r="G166" s="125" t="s">
        <v>228</v>
      </c>
      <c r="H166" s="33">
        <v>0.1</v>
      </c>
      <c r="I166" s="82">
        <f t="shared" si="96"/>
        <v>252.857</v>
      </c>
      <c r="J166" s="34">
        <v>0.38</v>
      </c>
      <c r="K166" s="35">
        <f t="shared" si="98"/>
        <v>96.085660000000004</v>
      </c>
      <c r="L166" s="36">
        <f t="shared" si="103"/>
        <v>73.03</v>
      </c>
      <c r="M166" s="37">
        <v>2.9000000000000001E-2</v>
      </c>
      <c r="N166" s="37">
        <f t="shared" si="100"/>
        <v>7.3328530000000001</v>
      </c>
      <c r="O166" s="35">
        <f t="shared" si="101"/>
        <v>535.51825458999997</v>
      </c>
      <c r="P166" s="38">
        <f t="shared" si="102"/>
        <v>631.60391458999993</v>
      </c>
      <c r="Q166" s="39"/>
    </row>
    <row r="167" spans="1:18" x14ac:dyDescent="0.25">
      <c r="A167" s="122" t="str">
        <f>IF(TRIM(G167)&lt;&gt;"",COUNTA(G$9:$G167)&amp;"","")</f>
        <v>126</v>
      </c>
      <c r="B167" s="123" t="s">
        <v>698</v>
      </c>
      <c r="C167" s="123" t="s">
        <v>698</v>
      </c>
      <c r="D167" s="50"/>
      <c r="E167" s="205" t="s">
        <v>593</v>
      </c>
      <c r="F167" s="124">
        <v>19.329999999999998</v>
      </c>
      <c r="G167" s="125" t="s">
        <v>228</v>
      </c>
      <c r="H167" s="33">
        <v>0.1</v>
      </c>
      <c r="I167" s="82">
        <f t="shared" si="96"/>
        <v>21.262999999999998</v>
      </c>
      <c r="J167" s="34">
        <f>3.83</f>
        <v>3.83</v>
      </c>
      <c r="K167" s="35">
        <f t="shared" si="98"/>
        <v>81.43728999999999</v>
      </c>
      <c r="L167" s="36">
        <f t="shared" si="103"/>
        <v>73.03</v>
      </c>
      <c r="M167" s="37">
        <v>3.5999999999999997E-2</v>
      </c>
      <c r="N167" s="37">
        <f t="shared" si="100"/>
        <v>0.76546799999999993</v>
      </c>
      <c r="O167" s="35">
        <f t="shared" si="101"/>
        <v>55.902128039999994</v>
      </c>
      <c r="P167" s="38">
        <f t="shared" si="102"/>
        <v>137.33941804</v>
      </c>
      <c r="Q167" s="39"/>
    </row>
    <row r="168" spans="1:18" ht="15.75" thickBot="1" x14ac:dyDescent="0.3">
      <c r="A168" s="122" t="str">
        <f>IF(TRIM(G168)&lt;&gt;"",COUNTA(G$9:$G168)&amp;"","")</f>
        <v/>
      </c>
      <c r="B168" s="126"/>
      <c r="C168" s="126"/>
      <c r="D168" s="50"/>
      <c r="E168" s="127"/>
      <c r="F168" s="124"/>
      <c r="G168" s="125"/>
      <c r="H168" s="33" t="str">
        <f t="shared" si="95"/>
        <v/>
      </c>
      <c r="I168" s="82" t="str">
        <f t="shared" si="96"/>
        <v/>
      </c>
      <c r="J168" s="34" t="str">
        <f t="shared" si="97"/>
        <v/>
      </c>
      <c r="K168" s="35" t="str">
        <f t="shared" si="98"/>
        <v/>
      </c>
      <c r="L168" s="36" t="str">
        <f t="shared" si="103"/>
        <v/>
      </c>
      <c r="M168" s="37" t="str">
        <f t="shared" si="99"/>
        <v/>
      </c>
      <c r="N168" s="37" t="str">
        <f t="shared" si="100"/>
        <v/>
      </c>
      <c r="O168" s="35" t="str">
        <f t="shared" si="101"/>
        <v/>
      </c>
      <c r="P168" s="38" t="str">
        <f t="shared" si="102"/>
        <v/>
      </c>
      <c r="Q168" s="39"/>
    </row>
    <row r="169" spans="1:18" s="3" customFormat="1" ht="16.5" thickBot="1" x14ac:dyDescent="0.3">
      <c r="A169" s="122" t="str">
        <f>IF(TRIM(G169)&lt;&gt;"",COUNTA(G$9:$G169)&amp;"","")</f>
        <v/>
      </c>
      <c r="B169" s="1"/>
      <c r="C169" s="1"/>
      <c r="D169" s="30"/>
      <c r="E169" s="29"/>
      <c r="F169" s="80"/>
      <c r="G169" s="81"/>
      <c r="H169" s="151" t="s">
        <v>12</v>
      </c>
      <c r="I169" s="152"/>
      <c r="J169" s="68">
        <f>SUM(K$86:K$168)</f>
        <v>100425.42200759127</v>
      </c>
      <c r="K169" s="390" t="s">
        <v>13</v>
      </c>
      <c r="L169" s="391"/>
      <c r="M169" s="69">
        <f>SUM(O$86:O$168)</f>
        <v>73504.828292606122</v>
      </c>
      <c r="N169" s="390" t="s">
        <v>43</v>
      </c>
      <c r="O169" s="391"/>
      <c r="P169" s="70">
        <f>SUM(N$86:N$168)</f>
        <v>1006.5018251760386</v>
      </c>
      <c r="Q169" s="71">
        <f>SUM(P$86:P$168)</f>
        <v>173930.25030019743</v>
      </c>
    </row>
    <row r="170" spans="1:18" ht="19.149999999999999" customHeight="1" x14ac:dyDescent="0.25">
      <c r="A170" s="153" t="str">
        <f>IF(TRIM(G170)&lt;&gt;"",COUNTA(G$9:$G170)&amp;"","")</f>
        <v/>
      </c>
      <c r="B170" s="31"/>
      <c r="C170" s="162" t="s">
        <v>192</v>
      </c>
      <c r="D170" s="154" t="s">
        <v>186</v>
      </c>
      <c r="E170" s="154" t="s">
        <v>60</v>
      </c>
      <c r="F170" s="78"/>
      <c r="G170" s="79"/>
      <c r="H170" s="31"/>
      <c r="I170" s="79"/>
      <c r="J170" s="31"/>
      <c r="K170" s="31"/>
      <c r="L170" s="31"/>
      <c r="M170" s="31"/>
      <c r="N170" s="31"/>
      <c r="O170" s="31"/>
      <c r="P170" s="31"/>
      <c r="Q170" s="155"/>
    </row>
    <row r="171" spans="1:18" s="28" customFormat="1" ht="19.149999999999999" customHeight="1" x14ac:dyDescent="0.25">
      <c r="A171" s="122" t="str">
        <f>IF(TRIM(G171)&lt;&gt;"",COUNTA(G$9:$G171)&amp;"","")</f>
        <v/>
      </c>
      <c r="B171" s="49"/>
      <c r="C171" s="49"/>
      <c r="D171" s="50" t="s">
        <v>86</v>
      </c>
      <c r="E171" s="156" t="s">
        <v>85</v>
      </c>
      <c r="F171" s="124"/>
      <c r="G171" s="125"/>
      <c r="H171" s="33" t="str">
        <f t="shared" ref="H171:H180" si="193">IF(F171=0,"",0)</f>
        <v/>
      </c>
      <c r="I171" s="82" t="str">
        <f t="shared" ref="I171:I182" si="194">IF(F171=0,"",F171+(F171*H171))</f>
        <v/>
      </c>
      <c r="J171" s="34" t="str">
        <f t="shared" ref="J171:J180" si="195">IF(F171=0,"",0)</f>
        <v/>
      </c>
      <c r="K171" s="35" t="str">
        <f t="shared" ref="K171:K182" si="196">IF(F171=0,"",J171*I171)</f>
        <v/>
      </c>
      <c r="L171" s="36" t="str">
        <f t="shared" ref="L171:L182" si="197">IF(F171=0,"",L$14)</f>
        <v/>
      </c>
      <c r="M171" s="37" t="str">
        <f t="shared" ref="M171:M180" si="198">IF(F171=0,"",0)</f>
        <v/>
      </c>
      <c r="N171" s="37" t="str">
        <f t="shared" ref="N171:N182" si="199">IF(F171=0,"",M171*I171)</f>
        <v/>
      </c>
      <c r="O171" s="35" t="str">
        <f t="shared" ref="O171:O182" si="200">IF(F171=0,"",N171*L171)</f>
        <v/>
      </c>
      <c r="P171" s="38" t="str">
        <f t="shared" ref="P171:P182" si="201">IF(F171=0,"",K171+O171)</f>
        <v/>
      </c>
      <c r="Q171" s="39"/>
    </row>
    <row r="172" spans="1:18" x14ac:dyDescent="0.25">
      <c r="A172" s="122" t="str">
        <f>IF(TRIM(G172)&lt;&gt;"",COUNTA(G$9:$G172)&amp;"","")</f>
        <v>127</v>
      </c>
      <c r="B172" s="123" t="s">
        <v>256</v>
      </c>
      <c r="C172" s="123" t="s">
        <v>256</v>
      </c>
      <c r="D172" s="50"/>
      <c r="E172" s="89" t="s">
        <v>480</v>
      </c>
      <c r="F172" s="124">
        <v>2711</v>
      </c>
      <c r="G172" s="125" t="s">
        <v>214</v>
      </c>
      <c r="H172" s="33">
        <v>0.1</v>
      </c>
      <c r="I172" s="82">
        <f t="shared" si="194"/>
        <v>2982.1</v>
      </c>
      <c r="J172" s="34">
        <v>3.16</v>
      </c>
      <c r="K172" s="35">
        <f t="shared" si="196"/>
        <v>9423.4359999999997</v>
      </c>
      <c r="L172" s="36">
        <f t="shared" si="197"/>
        <v>73.03</v>
      </c>
      <c r="M172" s="37">
        <v>6.0000000000000001E-3</v>
      </c>
      <c r="N172" s="37">
        <f t="shared" si="199"/>
        <v>17.892599999999998</v>
      </c>
      <c r="O172" s="35">
        <f t="shared" si="200"/>
        <v>1306.6965779999998</v>
      </c>
      <c r="P172" s="38">
        <f t="shared" si="201"/>
        <v>10730.132577999999</v>
      </c>
      <c r="Q172" s="39"/>
      <c r="R172" s="84">
        <f>0.43/0.006</f>
        <v>71.666666666666657</v>
      </c>
    </row>
    <row r="173" spans="1:18" x14ac:dyDescent="0.25">
      <c r="A173" s="122" t="str">
        <f>IF(TRIM(G173)&lt;&gt;"",COUNTA(G$9:$G173)&amp;"","")</f>
        <v>128</v>
      </c>
      <c r="B173" s="123" t="s">
        <v>256</v>
      </c>
      <c r="C173" s="123" t="s">
        <v>256</v>
      </c>
      <c r="D173" s="50"/>
      <c r="E173" s="89" t="s">
        <v>479</v>
      </c>
      <c r="F173" s="124">
        <v>4355</v>
      </c>
      <c r="G173" s="125" t="s">
        <v>214</v>
      </c>
      <c r="H173" s="33">
        <v>0.1</v>
      </c>
      <c r="I173" s="82">
        <f t="shared" si="194"/>
        <v>4790.5</v>
      </c>
      <c r="J173" s="34">
        <v>3.16</v>
      </c>
      <c r="K173" s="35">
        <f t="shared" si="196"/>
        <v>15137.980000000001</v>
      </c>
      <c r="L173" s="36">
        <f t="shared" si="197"/>
        <v>73.03</v>
      </c>
      <c r="M173" s="37">
        <v>6.0000000000000001E-3</v>
      </c>
      <c r="N173" s="37">
        <f t="shared" si="199"/>
        <v>28.743000000000002</v>
      </c>
      <c r="O173" s="35">
        <f t="shared" si="200"/>
        <v>2099.1012900000001</v>
      </c>
      <c r="P173" s="38">
        <f t="shared" si="201"/>
        <v>17237.081290000002</v>
      </c>
      <c r="Q173" s="39"/>
    </row>
    <row r="174" spans="1:18" s="28" customFormat="1" ht="19.149999999999999" customHeight="1" x14ac:dyDescent="0.25">
      <c r="A174" s="122" t="str">
        <f>IF(TRIM(G174)&lt;&gt;"",COUNTA(G$9:$G174)&amp;"","")</f>
        <v/>
      </c>
      <c r="B174" s="49"/>
      <c r="C174" s="49"/>
      <c r="D174" s="50" t="s">
        <v>88</v>
      </c>
      <c r="E174" s="156" t="s">
        <v>87</v>
      </c>
      <c r="F174" s="124"/>
      <c r="G174" s="125"/>
      <c r="H174" s="33" t="str">
        <f t="shared" si="193"/>
        <v/>
      </c>
      <c r="I174" s="82" t="str">
        <f t="shared" si="194"/>
        <v/>
      </c>
      <c r="J174" s="34" t="str">
        <f t="shared" si="195"/>
        <v/>
      </c>
      <c r="K174" s="35" t="str">
        <f t="shared" si="196"/>
        <v/>
      </c>
      <c r="L174" s="36" t="str">
        <f t="shared" si="197"/>
        <v/>
      </c>
      <c r="M174" s="37" t="str">
        <f t="shared" si="198"/>
        <v/>
      </c>
      <c r="N174" s="37" t="str">
        <f t="shared" si="199"/>
        <v/>
      </c>
      <c r="O174" s="35" t="str">
        <f t="shared" si="200"/>
        <v/>
      </c>
      <c r="P174" s="38" t="str">
        <f t="shared" si="201"/>
        <v/>
      </c>
      <c r="Q174" s="39"/>
    </row>
    <row r="175" spans="1:18" x14ac:dyDescent="0.25">
      <c r="A175" s="122" t="str">
        <f>IF(TRIM(G175)&lt;&gt;"",COUNTA(G$9:$G175)&amp;"","")</f>
        <v>129</v>
      </c>
      <c r="B175" s="123" t="s">
        <v>699</v>
      </c>
      <c r="C175" s="123" t="s">
        <v>699</v>
      </c>
      <c r="D175" s="50"/>
      <c r="E175" s="205" t="s">
        <v>594</v>
      </c>
      <c r="F175" s="124">
        <v>671.9</v>
      </c>
      <c r="G175" s="106" t="s">
        <v>214</v>
      </c>
      <c r="H175" s="33">
        <v>0.1</v>
      </c>
      <c r="I175" s="82">
        <f>IF(F175=0,"",F175+(F175*H175))</f>
        <v>739.08999999999992</v>
      </c>
      <c r="J175" s="34">
        <v>9</v>
      </c>
      <c r="K175" s="35">
        <f>IF(F175=0,"",J175*I175)</f>
        <v>6651.8099999999995</v>
      </c>
      <c r="L175" s="36">
        <f>IF(F175=0,"",L$14)</f>
        <v>73.03</v>
      </c>
      <c r="M175" s="37">
        <v>2.1000000000000001E-2</v>
      </c>
      <c r="N175" s="37">
        <f>IF(F175=0,"",M175*I175)</f>
        <v>15.52089</v>
      </c>
      <c r="O175" s="35">
        <f>IF(F175=0,"",N175*L175)</f>
        <v>1133.4905967</v>
      </c>
      <c r="P175" s="38">
        <f>IF(F175=0,"",K175+O175)</f>
        <v>7785.300596699999</v>
      </c>
      <c r="Q175" s="39"/>
    </row>
    <row r="176" spans="1:18" x14ac:dyDescent="0.25">
      <c r="A176" s="122" t="str">
        <f>IF(TRIM(G176)&lt;&gt;"",COUNTA(G$9:$G176)&amp;"","")</f>
        <v>130</v>
      </c>
      <c r="B176" s="123" t="s">
        <v>699</v>
      </c>
      <c r="C176" s="123" t="s">
        <v>699</v>
      </c>
      <c r="D176" s="50"/>
      <c r="E176" s="205" t="s">
        <v>595</v>
      </c>
      <c r="F176" s="124">
        <v>619.37</v>
      </c>
      <c r="G176" s="106" t="s">
        <v>214</v>
      </c>
      <c r="H176" s="33">
        <v>0.1</v>
      </c>
      <c r="I176" s="82">
        <f>IF(F176=0,"",F176+(F176*H176))</f>
        <v>681.30700000000002</v>
      </c>
      <c r="J176" s="34">
        <v>6</v>
      </c>
      <c r="K176" s="35">
        <f>IF(F176=0,"",J176*I176)</f>
        <v>4087.8420000000001</v>
      </c>
      <c r="L176" s="36">
        <f>IF(F176=0,"",L$14)</f>
        <v>73.03</v>
      </c>
      <c r="M176" s="37">
        <v>0.13300000000000001</v>
      </c>
      <c r="N176" s="37">
        <f>IF(F176=0,"",M176*I176)</f>
        <v>90.613831000000005</v>
      </c>
      <c r="O176" s="35">
        <f>IF(F176=0,"",N176*L176)</f>
        <v>6617.5280779300001</v>
      </c>
      <c r="P176" s="38">
        <f>IF(F176=0,"",K176+O176)</f>
        <v>10705.37007793</v>
      </c>
      <c r="Q176" s="39"/>
    </row>
    <row r="177" spans="1:17" s="28" customFormat="1" ht="19.149999999999999" customHeight="1" x14ac:dyDescent="0.25">
      <c r="A177" s="122" t="str">
        <f>IF(TRIM(G177)&lt;&gt;"",COUNTA(G$9:$G177)&amp;"","")</f>
        <v/>
      </c>
      <c r="B177" s="49"/>
      <c r="C177" s="49"/>
      <c r="D177" s="50" t="s">
        <v>90</v>
      </c>
      <c r="E177" s="156" t="s">
        <v>89</v>
      </c>
      <c r="F177" s="124"/>
      <c r="G177" s="125"/>
      <c r="H177" s="33" t="str">
        <f t="shared" si="193"/>
        <v/>
      </c>
      <c r="I177" s="82" t="str">
        <f t="shared" si="194"/>
        <v/>
      </c>
      <c r="J177" s="34" t="str">
        <f t="shared" si="195"/>
        <v/>
      </c>
      <c r="K177" s="35" t="str">
        <f t="shared" si="196"/>
        <v/>
      </c>
      <c r="L177" s="36" t="str">
        <f t="shared" si="197"/>
        <v/>
      </c>
      <c r="M177" s="37" t="str">
        <f t="shared" si="198"/>
        <v/>
      </c>
      <c r="N177" s="37" t="str">
        <f t="shared" si="199"/>
        <v/>
      </c>
      <c r="O177" s="35" t="str">
        <f t="shared" si="200"/>
        <v/>
      </c>
      <c r="P177" s="38" t="str">
        <f t="shared" si="201"/>
        <v/>
      </c>
      <c r="Q177" s="39"/>
    </row>
    <row r="178" spans="1:17" x14ac:dyDescent="0.25">
      <c r="A178" s="122" t="str">
        <f>IF(TRIM(G178)&lt;&gt;"",COUNTA(G$9:$G178)&amp;"","")</f>
        <v>131</v>
      </c>
      <c r="B178" s="123" t="s">
        <v>698</v>
      </c>
      <c r="C178" s="123" t="s">
        <v>698</v>
      </c>
      <c r="D178" s="50"/>
      <c r="E178" s="89" t="s">
        <v>701</v>
      </c>
      <c r="F178" s="124">
        <v>5794</v>
      </c>
      <c r="G178" s="125" t="s">
        <v>214</v>
      </c>
      <c r="H178" s="33">
        <v>0.1</v>
      </c>
      <c r="I178" s="82">
        <f t="shared" si="194"/>
        <v>6373.4</v>
      </c>
      <c r="J178" s="34">
        <v>0.06</v>
      </c>
      <c r="K178" s="35">
        <f t="shared" si="196"/>
        <v>382.40399999999994</v>
      </c>
      <c r="L178" s="36">
        <f t="shared" si="197"/>
        <v>73.03</v>
      </c>
      <c r="M178" s="216">
        <v>2E-3</v>
      </c>
      <c r="N178" s="37">
        <f t="shared" si="199"/>
        <v>12.7468</v>
      </c>
      <c r="O178" s="35">
        <f t="shared" si="200"/>
        <v>930.89880400000004</v>
      </c>
      <c r="P178" s="38">
        <f t="shared" si="201"/>
        <v>1313.3028039999999</v>
      </c>
      <c r="Q178" s="39"/>
    </row>
    <row r="179" spans="1:17" x14ac:dyDescent="0.25">
      <c r="A179" s="122" t="str">
        <f>IF(TRIM(G179)&lt;&gt;"",COUNTA(G$9:$G179)&amp;"","")</f>
        <v>132</v>
      </c>
      <c r="B179" s="123" t="s">
        <v>698</v>
      </c>
      <c r="C179" s="123" t="s">
        <v>698</v>
      </c>
      <c r="D179" s="50"/>
      <c r="E179" s="205" t="s">
        <v>596</v>
      </c>
      <c r="F179" s="124">
        <v>632.16999999999996</v>
      </c>
      <c r="G179" s="106" t="s">
        <v>228</v>
      </c>
      <c r="H179" s="33">
        <v>0.1</v>
      </c>
      <c r="I179" s="82">
        <f>IF(F179=0,"",F179+(F179*H179))</f>
        <v>695.38699999999994</v>
      </c>
      <c r="J179" s="34">
        <v>2.5499999999999998</v>
      </c>
      <c r="K179" s="35">
        <f>IF(F179=0,"",J179*I179)</f>
        <v>1773.2368499999998</v>
      </c>
      <c r="L179" s="36">
        <f>IF(F179=0,"",L$14)</f>
        <v>73.03</v>
      </c>
      <c r="M179" s="37">
        <v>0.02</v>
      </c>
      <c r="N179" s="37">
        <f>IF(F179=0,"",M179*I179)</f>
        <v>13.907739999999999</v>
      </c>
      <c r="O179" s="35">
        <f>IF(F179=0,"",N179*L179)</f>
        <v>1015.6822521999999</v>
      </c>
      <c r="P179" s="38">
        <f>IF(F179=0,"",K179+O179)</f>
        <v>2788.9191021999995</v>
      </c>
      <c r="Q179" s="39"/>
    </row>
    <row r="180" spans="1:17" s="28" customFormat="1" ht="19.149999999999999" customHeight="1" x14ac:dyDescent="0.25">
      <c r="A180" s="122" t="str">
        <f>IF(TRIM(G180)&lt;&gt;"",COUNTA(G$9:$G180)&amp;"","")</f>
        <v/>
      </c>
      <c r="B180" s="49"/>
      <c r="C180" s="49"/>
      <c r="D180" s="50" t="s">
        <v>92</v>
      </c>
      <c r="E180" s="156" t="s">
        <v>91</v>
      </c>
      <c r="F180" s="124"/>
      <c r="G180" s="125"/>
      <c r="H180" s="33" t="str">
        <f t="shared" si="193"/>
        <v/>
      </c>
      <c r="I180" s="82" t="str">
        <f t="shared" si="194"/>
        <v/>
      </c>
      <c r="J180" s="34" t="str">
        <f t="shared" si="195"/>
        <v/>
      </c>
      <c r="K180" s="35" t="str">
        <f t="shared" si="196"/>
        <v/>
      </c>
      <c r="L180" s="36" t="str">
        <f t="shared" si="197"/>
        <v/>
      </c>
      <c r="M180" s="37" t="str">
        <f t="shared" si="198"/>
        <v/>
      </c>
      <c r="N180" s="37" t="str">
        <f t="shared" si="199"/>
        <v/>
      </c>
      <c r="O180" s="35" t="str">
        <f t="shared" si="200"/>
        <v/>
      </c>
      <c r="P180" s="38" t="str">
        <f t="shared" si="201"/>
        <v/>
      </c>
      <c r="Q180" s="39"/>
    </row>
    <row r="181" spans="1:17" x14ac:dyDescent="0.25">
      <c r="A181" s="122" t="str">
        <f>IF(TRIM(G181)&lt;&gt;"",COUNTA(G$9:$G181)&amp;"","")</f>
        <v>133</v>
      </c>
      <c r="B181" s="123" t="s">
        <v>697</v>
      </c>
      <c r="C181" s="123" t="s">
        <v>697</v>
      </c>
      <c r="D181" s="50"/>
      <c r="E181" s="205" t="s">
        <v>597</v>
      </c>
      <c r="F181" s="124">
        <v>467.61</v>
      </c>
      <c r="G181" s="125" t="s">
        <v>214</v>
      </c>
      <c r="H181" s="33">
        <v>0.1</v>
      </c>
      <c r="I181" s="82">
        <f t="shared" si="194"/>
        <v>514.37099999999998</v>
      </c>
      <c r="J181" s="34">
        <v>3.17</v>
      </c>
      <c r="K181" s="35">
        <f t="shared" si="196"/>
        <v>1630.5560699999999</v>
      </c>
      <c r="L181" s="36">
        <f t="shared" si="197"/>
        <v>73.03</v>
      </c>
      <c r="M181" s="37">
        <v>3.4000000000000002E-2</v>
      </c>
      <c r="N181" s="37">
        <f t="shared" si="199"/>
        <v>17.488614000000002</v>
      </c>
      <c r="O181" s="35">
        <f t="shared" si="200"/>
        <v>1277.1934804200002</v>
      </c>
      <c r="P181" s="38">
        <f t="shared" si="201"/>
        <v>2907.7495504200001</v>
      </c>
      <c r="Q181" s="39"/>
    </row>
    <row r="182" spans="1:17" x14ac:dyDescent="0.25">
      <c r="A182" s="122" t="str">
        <f>IF(TRIM(G182)&lt;&gt;"",COUNTA(G$9:$G182)&amp;"","")</f>
        <v>134</v>
      </c>
      <c r="B182" s="123" t="s">
        <v>697</v>
      </c>
      <c r="C182" s="123" t="s">
        <v>697</v>
      </c>
      <c r="D182" s="50"/>
      <c r="E182" s="205" t="s">
        <v>598</v>
      </c>
      <c r="F182" s="124">
        <v>4083.28</v>
      </c>
      <c r="G182" s="125" t="s">
        <v>214</v>
      </c>
      <c r="H182" s="33">
        <v>0.1</v>
      </c>
      <c r="I182" s="82">
        <f t="shared" si="194"/>
        <v>4491.6080000000002</v>
      </c>
      <c r="J182" s="34">
        <v>3.17</v>
      </c>
      <c r="K182" s="35">
        <f t="shared" si="196"/>
        <v>14238.397360000001</v>
      </c>
      <c r="L182" s="36">
        <f t="shared" si="197"/>
        <v>73.03</v>
      </c>
      <c r="M182" s="37">
        <v>3.4000000000000002E-2</v>
      </c>
      <c r="N182" s="37">
        <f t="shared" si="199"/>
        <v>152.71467200000001</v>
      </c>
      <c r="O182" s="35">
        <f t="shared" si="200"/>
        <v>11152.752496160001</v>
      </c>
      <c r="P182" s="38">
        <f t="shared" si="201"/>
        <v>25391.149856160002</v>
      </c>
      <c r="Q182" s="39"/>
    </row>
    <row r="183" spans="1:17" s="28" customFormat="1" ht="19.149999999999999" customHeight="1" x14ac:dyDescent="0.25">
      <c r="A183" s="122" t="str">
        <f>IF(TRIM(G183)&lt;&gt;"",COUNTA(G$9:$G183)&amp;"","")</f>
        <v/>
      </c>
      <c r="B183" s="49"/>
      <c r="C183" s="49"/>
      <c r="D183" s="50" t="s">
        <v>94</v>
      </c>
      <c r="E183" s="156" t="s">
        <v>93</v>
      </c>
      <c r="F183" s="124"/>
      <c r="G183" s="125"/>
      <c r="H183" s="33" t="str">
        <f t="shared" ref="H183:H209" si="202">IF(F183=0,"",0)</f>
        <v/>
      </c>
      <c r="I183" s="82" t="str">
        <f t="shared" ref="I183:I209" si="203">IF(F183=0,"",F183+(F183*H183))</f>
        <v/>
      </c>
      <c r="J183" s="34" t="str">
        <f t="shared" ref="J183:J209" si="204">IF(F183=0,"",0)</f>
        <v/>
      </c>
      <c r="K183" s="35" t="str">
        <f t="shared" ref="K183:K209" si="205">IF(F183=0,"",J183*I183)</f>
        <v/>
      </c>
      <c r="L183" s="36" t="str">
        <f t="shared" ref="L183:L209" si="206">IF(F183=0,"",L$14)</f>
        <v/>
      </c>
      <c r="M183" s="37" t="str">
        <f t="shared" ref="M183:M209" si="207">IF(F183=0,"",0)</f>
        <v/>
      </c>
      <c r="N183" s="37" t="str">
        <f t="shared" ref="N183:N209" si="208">IF(F183=0,"",M183*I183)</f>
        <v/>
      </c>
      <c r="O183" s="35" t="str">
        <f t="shared" ref="O183:O209" si="209">IF(F183=0,"",N183*L183)</f>
        <v/>
      </c>
      <c r="P183" s="38" t="str">
        <f t="shared" ref="P183:P209" si="210">IF(F183=0,"",K183+O183)</f>
        <v/>
      </c>
      <c r="Q183" s="39"/>
    </row>
    <row r="184" spans="1:17" x14ac:dyDescent="0.25">
      <c r="A184" s="122" t="str">
        <f>IF(TRIM(G184)&lt;&gt;"",COUNTA(G$9:$G184)&amp;"","")</f>
        <v>135</v>
      </c>
      <c r="B184" s="123" t="s">
        <v>698</v>
      </c>
      <c r="C184" s="123" t="s">
        <v>698</v>
      </c>
      <c r="D184" s="50"/>
      <c r="E184" s="205" t="s">
        <v>599</v>
      </c>
      <c r="F184" s="124">
        <v>891.22</v>
      </c>
      <c r="G184" s="125" t="s">
        <v>214</v>
      </c>
      <c r="H184" s="33">
        <v>0.1</v>
      </c>
      <c r="I184" s="82">
        <f t="shared" si="203"/>
        <v>980.3420000000001</v>
      </c>
      <c r="J184" s="34">
        <v>2.91</v>
      </c>
      <c r="K184" s="35">
        <f t="shared" si="205"/>
        <v>2852.7952200000004</v>
      </c>
      <c r="L184" s="36">
        <f t="shared" si="206"/>
        <v>73.03</v>
      </c>
      <c r="M184" s="37">
        <v>4.1000000000000002E-2</v>
      </c>
      <c r="N184" s="37">
        <f t="shared" si="208"/>
        <v>40.194022000000004</v>
      </c>
      <c r="O184" s="35">
        <f t="shared" si="209"/>
        <v>2935.3694266600005</v>
      </c>
      <c r="P184" s="38">
        <f t="shared" si="210"/>
        <v>5788.1646466600014</v>
      </c>
      <c r="Q184" s="39"/>
    </row>
    <row r="185" spans="1:17" s="28" customFormat="1" ht="19.149999999999999" customHeight="1" x14ac:dyDescent="0.25">
      <c r="A185" s="122" t="str">
        <f>IF(TRIM(G185)&lt;&gt;"",COUNTA(G$9:$G185)&amp;"","")</f>
        <v/>
      </c>
      <c r="B185" s="49"/>
      <c r="C185" s="49"/>
      <c r="D185" s="50" t="s">
        <v>96</v>
      </c>
      <c r="E185" s="156" t="s">
        <v>95</v>
      </c>
      <c r="F185" s="124"/>
      <c r="G185" s="125"/>
      <c r="H185" s="33" t="str">
        <f t="shared" si="202"/>
        <v/>
      </c>
      <c r="I185" s="82" t="str">
        <f t="shared" si="203"/>
        <v/>
      </c>
      <c r="J185" s="34" t="str">
        <f t="shared" si="204"/>
        <v/>
      </c>
      <c r="K185" s="35" t="str">
        <f t="shared" si="205"/>
        <v/>
      </c>
      <c r="L185" s="36" t="str">
        <f t="shared" si="206"/>
        <v/>
      </c>
      <c r="M185" s="37" t="str">
        <f t="shared" si="207"/>
        <v/>
      </c>
      <c r="N185" s="37" t="str">
        <f t="shared" si="208"/>
        <v/>
      </c>
      <c r="O185" s="35" t="str">
        <f t="shared" si="209"/>
        <v/>
      </c>
      <c r="P185" s="38" t="str">
        <f t="shared" si="210"/>
        <v/>
      </c>
      <c r="Q185" s="39"/>
    </row>
    <row r="186" spans="1:17" x14ac:dyDescent="0.25">
      <c r="A186" s="122" t="str">
        <f>IF(TRIM(G186)&lt;&gt;"",COUNTA(G$9:$G186)&amp;"","")</f>
        <v>136</v>
      </c>
      <c r="B186" s="123" t="s">
        <v>698</v>
      </c>
      <c r="C186" s="123" t="s">
        <v>698</v>
      </c>
      <c r="D186" s="50"/>
      <c r="E186" s="205" t="s">
        <v>600</v>
      </c>
      <c r="F186" s="124">
        <v>2114.5300000000002</v>
      </c>
      <c r="G186" s="125" t="s">
        <v>214</v>
      </c>
      <c r="H186" s="33">
        <v>0.1</v>
      </c>
      <c r="I186" s="82">
        <f t="shared" si="203"/>
        <v>2325.9830000000002</v>
      </c>
      <c r="J186" s="34">
        <v>2.58</v>
      </c>
      <c r="K186" s="35">
        <f t="shared" si="205"/>
        <v>6001.0361400000011</v>
      </c>
      <c r="L186" s="36">
        <f t="shared" si="206"/>
        <v>73.03</v>
      </c>
      <c r="M186" s="37">
        <v>3.2000000000000001E-2</v>
      </c>
      <c r="N186" s="37">
        <f t="shared" si="208"/>
        <v>74.431456000000011</v>
      </c>
      <c r="O186" s="35">
        <f t="shared" si="209"/>
        <v>5435.7292316800012</v>
      </c>
      <c r="P186" s="38">
        <f t="shared" si="210"/>
        <v>11436.765371680001</v>
      </c>
      <c r="Q186" s="39"/>
    </row>
    <row r="187" spans="1:17" x14ac:dyDescent="0.25">
      <c r="A187" s="122" t="str">
        <f>IF(TRIM(G187)&lt;&gt;"",COUNTA(G$9:$G187)&amp;"","")</f>
        <v>137</v>
      </c>
      <c r="B187" s="123" t="s">
        <v>698</v>
      </c>
      <c r="C187" s="123" t="s">
        <v>698</v>
      </c>
      <c r="D187" s="50"/>
      <c r="E187" s="205" t="s">
        <v>601</v>
      </c>
      <c r="F187" s="124">
        <v>1015.03</v>
      </c>
      <c r="G187" s="125" t="s">
        <v>214</v>
      </c>
      <c r="H187" s="33">
        <v>0.1</v>
      </c>
      <c r="I187" s="82">
        <f t="shared" si="203"/>
        <v>1116.5329999999999</v>
      </c>
      <c r="J187" s="34">
        <v>2.58</v>
      </c>
      <c r="K187" s="35">
        <f t="shared" si="205"/>
        <v>2880.6551399999998</v>
      </c>
      <c r="L187" s="36">
        <f t="shared" si="206"/>
        <v>73.03</v>
      </c>
      <c r="M187" s="37">
        <v>3.2000000000000001E-2</v>
      </c>
      <c r="N187" s="37">
        <f t="shared" si="208"/>
        <v>35.729056</v>
      </c>
      <c r="O187" s="35">
        <f t="shared" si="209"/>
        <v>2609.29295968</v>
      </c>
      <c r="P187" s="38">
        <f t="shared" si="210"/>
        <v>5489.9480996799994</v>
      </c>
      <c r="Q187" s="39"/>
    </row>
    <row r="188" spans="1:17" x14ac:dyDescent="0.25">
      <c r="A188" s="122" t="str">
        <f>IF(TRIM(G188)&lt;&gt;"",COUNTA(G$9:$G188)&amp;"","")</f>
        <v>138</v>
      </c>
      <c r="B188" s="123" t="s">
        <v>698</v>
      </c>
      <c r="C188" s="123" t="s">
        <v>698</v>
      </c>
      <c r="D188" s="50"/>
      <c r="E188" s="205" t="s">
        <v>750</v>
      </c>
      <c r="F188" s="124">
        <v>341.84</v>
      </c>
      <c r="G188" s="106" t="s">
        <v>228</v>
      </c>
      <c r="H188" s="33">
        <v>0.1</v>
      </c>
      <c r="I188" s="82">
        <f t="shared" si="203"/>
        <v>376.024</v>
      </c>
      <c r="J188" s="34">
        <v>6.31</v>
      </c>
      <c r="K188" s="35">
        <f t="shared" si="205"/>
        <v>2372.71144</v>
      </c>
      <c r="L188" s="36">
        <f t="shared" si="206"/>
        <v>73.03</v>
      </c>
      <c r="M188" s="37">
        <v>3.2000000000000001E-2</v>
      </c>
      <c r="N188" s="37">
        <f t="shared" si="208"/>
        <v>12.032768000000001</v>
      </c>
      <c r="O188" s="35">
        <f t="shared" si="209"/>
        <v>878.75304704000007</v>
      </c>
      <c r="P188" s="38">
        <f t="shared" si="210"/>
        <v>3251.4644870400002</v>
      </c>
      <c r="Q188" s="39"/>
    </row>
    <row r="189" spans="1:17" x14ac:dyDescent="0.25">
      <c r="A189" s="122" t="str">
        <f>IF(TRIM(G189)&lt;&gt;"",COUNTA(G$9:$G189)&amp;"","")</f>
        <v/>
      </c>
      <c r="B189" s="123"/>
      <c r="C189" s="123"/>
      <c r="D189" s="50"/>
      <c r="E189" s="209" t="s">
        <v>602</v>
      </c>
      <c r="F189" s="124"/>
      <c r="G189" s="106"/>
      <c r="H189" s="33"/>
      <c r="I189" s="82"/>
      <c r="J189" s="34"/>
      <c r="K189" s="35"/>
      <c r="L189" s="36"/>
      <c r="M189" s="37"/>
      <c r="N189" s="37"/>
      <c r="O189" s="35"/>
      <c r="P189" s="38"/>
      <c r="Q189" s="39"/>
    </row>
    <row r="190" spans="1:17" x14ac:dyDescent="0.25">
      <c r="A190" s="122" t="str">
        <f>IF(TRIM(G190)&lt;&gt;"",COUNTA(G$9:$G190)&amp;"","")</f>
        <v>139</v>
      </c>
      <c r="B190" s="123" t="s">
        <v>698</v>
      </c>
      <c r="C190" s="123" t="s">
        <v>698</v>
      </c>
      <c r="D190" s="50"/>
      <c r="E190" s="205" t="s">
        <v>603</v>
      </c>
      <c r="F190" s="124">
        <v>3129.56</v>
      </c>
      <c r="G190" s="125" t="s">
        <v>214</v>
      </c>
      <c r="H190" s="33">
        <v>0.1</v>
      </c>
      <c r="I190" s="82">
        <f t="shared" ref="I190" si="211">IF(F190=0,"",F190+(F190*H190))</f>
        <v>3442.5160000000001</v>
      </c>
      <c r="J190" s="34">
        <v>1.86</v>
      </c>
      <c r="K190" s="35">
        <f t="shared" ref="K190" si="212">IF(F190=0,"",J190*I190)</f>
        <v>6403.0797600000005</v>
      </c>
      <c r="L190" s="36">
        <f t="shared" ref="L190" si="213">IF(F190=0,"",L$14)</f>
        <v>73.03</v>
      </c>
      <c r="M190" s="37">
        <v>3.5999999999999997E-2</v>
      </c>
      <c r="N190" s="37">
        <f t="shared" ref="N190" si="214">IF(F190=0,"",M190*I190)</f>
        <v>123.93057599999999</v>
      </c>
      <c r="O190" s="35">
        <f t="shared" ref="O190" si="215">IF(F190=0,"",N190*L190)</f>
        <v>9050.6499652799994</v>
      </c>
      <c r="P190" s="38">
        <f t="shared" ref="P190" si="216">IF(F190=0,"",K190+O190)</f>
        <v>15453.72972528</v>
      </c>
      <c r="Q190" s="39"/>
    </row>
    <row r="191" spans="1:17" s="28" customFormat="1" ht="19.149999999999999" customHeight="1" x14ac:dyDescent="0.25">
      <c r="A191" s="122" t="str">
        <f>IF(TRIM(G191)&lt;&gt;"",COUNTA(G$9:$G191)&amp;"","")</f>
        <v/>
      </c>
      <c r="B191" s="49"/>
      <c r="C191" s="49"/>
      <c r="D191" s="50" t="s">
        <v>98</v>
      </c>
      <c r="E191" s="156" t="s">
        <v>97</v>
      </c>
      <c r="F191" s="124"/>
      <c r="G191" s="125"/>
      <c r="H191" s="33" t="str">
        <f t="shared" si="202"/>
        <v/>
      </c>
      <c r="I191" s="82" t="str">
        <f t="shared" si="203"/>
        <v/>
      </c>
      <c r="J191" s="34" t="str">
        <f t="shared" si="204"/>
        <v/>
      </c>
      <c r="K191" s="35" t="str">
        <f t="shared" si="205"/>
        <v/>
      </c>
      <c r="L191" s="36" t="str">
        <f t="shared" si="206"/>
        <v/>
      </c>
      <c r="M191" s="37" t="str">
        <f t="shared" si="207"/>
        <v/>
      </c>
      <c r="N191" s="37" t="str">
        <f t="shared" si="208"/>
        <v/>
      </c>
      <c r="O191" s="35" t="str">
        <f t="shared" si="209"/>
        <v/>
      </c>
      <c r="P191" s="38" t="str">
        <f t="shared" si="210"/>
        <v/>
      </c>
      <c r="Q191" s="39"/>
    </row>
    <row r="192" spans="1:17" x14ac:dyDescent="0.25">
      <c r="A192" s="122" t="str">
        <f>IF(TRIM(G192)&lt;&gt;"",COUNTA(G$9:$G192)&amp;"","")</f>
        <v>140</v>
      </c>
      <c r="B192" s="123" t="s">
        <v>697</v>
      </c>
      <c r="C192" s="123" t="s">
        <v>697</v>
      </c>
      <c r="D192" s="50"/>
      <c r="E192" s="205" t="s">
        <v>604</v>
      </c>
      <c r="F192" s="124">
        <v>52.55</v>
      </c>
      <c r="G192" s="125" t="s">
        <v>228</v>
      </c>
      <c r="H192" s="33">
        <v>0.1</v>
      </c>
      <c r="I192" s="82">
        <f t="shared" si="203"/>
        <v>57.805</v>
      </c>
      <c r="J192" s="34">
        <v>2.5499999999999998</v>
      </c>
      <c r="K192" s="35">
        <f t="shared" si="205"/>
        <v>147.40275</v>
      </c>
      <c r="L192" s="36">
        <f t="shared" si="206"/>
        <v>73.03</v>
      </c>
      <c r="M192" s="37">
        <v>0.02</v>
      </c>
      <c r="N192" s="37">
        <f t="shared" si="208"/>
        <v>1.1561000000000001</v>
      </c>
      <c r="O192" s="35">
        <f t="shared" si="209"/>
        <v>84.429983000000007</v>
      </c>
      <c r="P192" s="38">
        <f t="shared" si="210"/>
        <v>231.83273300000002</v>
      </c>
      <c r="Q192" s="39"/>
    </row>
    <row r="193" spans="1:17" x14ac:dyDescent="0.25">
      <c r="A193" s="122" t="str">
        <f>IF(TRIM(G193)&lt;&gt;"",COUNTA(G$9:$G193)&amp;"","")</f>
        <v>141</v>
      </c>
      <c r="B193" s="123" t="s">
        <v>697</v>
      </c>
      <c r="C193" s="123" t="s">
        <v>697</v>
      </c>
      <c r="D193" s="50"/>
      <c r="E193" s="205" t="s">
        <v>605</v>
      </c>
      <c r="F193" s="124">
        <v>336.95</v>
      </c>
      <c r="G193" s="106" t="s">
        <v>228</v>
      </c>
      <c r="H193" s="33">
        <v>0.1</v>
      </c>
      <c r="I193" s="82">
        <f t="shared" si="203"/>
        <v>370.64499999999998</v>
      </c>
      <c r="J193" s="34">
        <v>2.5499999999999998</v>
      </c>
      <c r="K193" s="35">
        <f t="shared" si="205"/>
        <v>945.14474999999993</v>
      </c>
      <c r="L193" s="36">
        <f t="shared" si="206"/>
        <v>73.03</v>
      </c>
      <c r="M193" s="37">
        <v>0.02</v>
      </c>
      <c r="N193" s="37">
        <f t="shared" si="208"/>
        <v>7.4128999999999996</v>
      </c>
      <c r="O193" s="35">
        <f t="shared" si="209"/>
        <v>541.36408699999993</v>
      </c>
      <c r="P193" s="38">
        <f t="shared" si="210"/>
        <v>1486.5088369999999</v>
      </c>
      <c r="Q193" s="39"/>
    </row>
    <row r="194" spans="1:17" x14ac:dyDescent="0.25">
      <c r="A194" s="122" t="str">
        <f>IF(TRIM(G194)&lt;&gt;"",COUNTA(G$9:$G194)&amp;"","")</f>
        <v>142</v>
      </c>
      <c r="B194" s="123" t="s">
        <v>697</v>
      </c>
      <c r="C194" s="123" t="s">
        <v>697</v>
      </c>
      <c r="D194" s="50"/>
      <c r="E194" s="205" t="s">
        <v>606</v>
      </c>
      <c r="F194" s="124">
        <v>62.54</v>
      </c>
      <c r="G194" s="106" t="s">
        <v>228</v>
      </c>
      <c r="H194" s="33">
        <v>0.1</v>
      </c>
      <c r="I194" s="82">
        <f t="shared" si="203"/>
        <v>68.793999999999997</v>
      </c>
      <c r="J194" s="34">
        <v>2.5499999999999998</v>
      </c>
      <c r="K194" s="35">
        <f t="shared" si="205"/>
        <v>175.42469999999997</v>
      </c>
      <c r="L194" s="36">
        <f t="shared" si="206"/>
        <v>73.03</v>
      </c>
      <c r="M194" s="37">
        <v>0.02</v>
      </c>
      <c r="N194" s="37">
        <f t="shared" si="208"/>
        <v>1.37588</v>
      </c>
      <c r="O194" s="35">
        <f t="shared" si="209"/>
        <v>100.4805164</v>
      </c>
      <c r="P194" s="38">
        <f t="shared" si="210"/>
        <v>275.90521639999997</v>
      </c>
      <c r="Q194" s="39"/>
    </row>
    <row r="195" spans="1:17" x14ac:dyDescent="0.25">
      <c r="A195" s="122" t="str">
        <f>IF(TRIM(G195)&lt;&gt;"",COUNTA(G$9:$G195)&amp;"","")</f>
        <v>143</v>
      </c>
      <c r="B195" s="123" t="s">
        <v>697</v>
      </c>
      <c r="C195" s="123" t="s">
        <v>697</v>
      </c>
      <c r="D195" s="50"/>
      <c r="E195" s="205" t="s">
        <v>607</v>
      </c>
      <c r="F195" s="124">
        <v>50.62</v>
      </c>
      <c r="G195" s="106" t="s">
        <v>228</v>
      </c>
      <c r="H195" s="33">
        <v>0.1</v>
      </c>
      <c r="I195" s="82">
        <f t="shared" si="203"/>
        <v>55.681999999999995</v>
      </c>
      <c r="J195" s="34">
        <v>2.5499999999999998</v>
      </c>
      <c r="K195" s="35">
        <f t="shared" si="205"/>
        <v>141.98909999999998</v>
      </c>
      <c r="L195" s="36">
        <f t="shared" si="206"/>
        <v>73.03</v>
      </c>
      <c r="M195" s="37">
        <v>0.02</v>
      </c>
      <c r="N195" s="37">
        <f t="shared" si="208"/>
        <v>1.11364</v>
      </c>
      <c r="O195" s="35">
        <f t="shared" si="209"/>
        <v>81.329129199999997</v>
      </c>
      <c r="P195" s="38">
        <f t="shared" si="210"/>
        <v>223.31822919999996</v>
      </c>
      <c r="Q195" s="39"/>
    </row>
    <row r="196" spans="1:17" s="28" customFormat="1" ht="19.149999999999999" customHeight="1" x14ac:dyDescent="0.25">
      <c r="A196" s="122" t="str">
        <f>IF(TRIM(G196)&lt;&gt;"",COUNTA(G$9:$G196)&amp;"","")</f>
        <v/>
      </c>
      <c r="B196" s="49"/>
      <c r="C196" s="49"/>
      <c r="D196" s="50" t="s">
        <v>100</v>
      </c>
      <c r="E196" s="156" t="s">
        <v>99</v>
      </c>
      <c r="F196" s="124"/>
      <c r="G196" s="125"/>
      <c r="H196" s="33" t="str">
        <f t="shared" si="202"/>
        <v/>
      </c>
      <c r="I196" s="82" t="str">
        <f t="shared" si="203"/>
        <v/>
      </c>
      <c r="J196" s="34" t="str">
        <f t="shared" si="204"/>
        <v/>
      </c>
      <c r="K196" s="35" t="str">
        <f t="shared" si="205"/>
        <v/>
      </c>
      <c r="L196" s="36" t="str">
        <f t="shared" si="206"/>
        <v/>
      </c>
      <c r="M196" s="37" t="str">
        <f t="shared" si="207"/>
        <v/>
      </c>
      <c r="N196" s="37" t="str">
        <f t="shared" si="208"/>
        <v/>
      </c>
      <c r="O196" s="35" t="str">
        <f t="shared" si="209"/>
        <v/>
      </c>
      <c r="P196" s="38" t="str">
        <f t="shared" si="210"/>
        <v/>
      </c>
      <c r="Q196" s="39"/>
    </row>
    <row r="197" spans="1:17" x14ac:dyDescent="0.25">
      <c r="A197" s="122" t="str">
        <f>IF(TRIM(G197)&lt;&gt;"",COUNTA(G$9:$G197)&amp;"","")</f>
        <v>144</v>
      </c>
      <c r="B197" s="123" t="s">
        <v>697</v>
      </c>
      <c r="C197" s="123" t="s">
        <v>697</v>
      </c>
      <c r="D197" s="50"/>
      <c r="E197" s="205" t="s">
        <v>608</v>
      </c>
      <c r="F197" s="124">
        <v>183.29</v>
      </c>
      <c r="G197" s="106" t="s">
        <v>228</v>
      </c>
      <c r="H197" s="33">
        <v>0.1</v>
      </c>
      <c r="I197" s="82">
        <f t="shared" si="203"/>
        <v>201.619</v>
      </c>
      <c r="J197" s="34">
        <v>11.15</v>
      </c>
      <c r="K197" s="35">
        <f t="shared" si="205"/>
        <v>2248.0518500000003</v>
      </c>
      <c r="L197" s="36">
        <f t="shared" si="206"/>
        <v>73.03</v>
      </c>
      <c r="M197" s="37">
        <v>6.7000000000000004E-2</v>
      </c>
      <c r="N197" s="37">
        <f t="shared" si="208"/>
        <v>13.508473</v>
      </c>
      <c r="O197" s="35">
        <f t="shared" si="209"/>
        <v>986.52378319000002</v>
      </c>
      <c r="P197" s="38">
        <f t="shared" si="210"/>
        <v>3234.5756331900002</v>
      </c>
      <c r="Q197" s="39"/>
    </row>
    <row r="198" spans="1:17" x14ac:dyDescent="0.25">
      <c r="A198" s="122" t="str">
        <f>IF(TRIM(G198)&lt;&gt;"",COUNTA(G$9:$G198)&amp;"","")</f>
        <v>145</v>
      </c>
      <c r="B198" s="123" t="s">
        <v>736</v>
      </c>
      <c r="C198" s="123" t="s">
        <v>736</v>
      </c>
      <c r="D198" s="50"/>
      <c r="E198" s="195" t="s">
        <v>737</v>
      </c>
      <c r="F198" s="124">
        <v>12</v>
      </c>
      <c r="G198" s="125" t="s">
        <v>250</v>
      </c>
      <c r="H198" s="33"/>
      <c r="I198" s="82"/>
      <c r="J198" s="34"/>
      <c r="K198" s="35">
        <f t="shared" ref="K198:K200" si="217">IF(F198=0,"",J198*I198)</f>
        <v>0</v>
      </c>
      <c r="L198" s="36">
        <f t="shared" ref="L198:L200" si="218">IF(F198=0,"",L$14)</f>
        <v>73.03</v>
      </c>
      <c r="M198" s="37"/>
      <c r="N198" s="37">
        <f t="shared" ref="N198:N200" si="219">IF(F198=0,"",M198*I198)</f>
        <v>0</v>
      </c>
      <c r="O198" s="35">
        <f t="shared" ref="O198:O200" si="220">IF(F198=0,"",N198*L198)</f>
        <v>0</v>
      </c>
      <c r="P198" s="38">
        <f t="shared" ref="P198:P200" si="221">IF(F198=0,"",K198+O198)</f>
        <v>0</v>
      </c>
      <c r="Q198" s="39"/>
    </row>
    <row r="199" spans="1:17" x14ac:dyDescent="0.25">
      <c r="A199" s="122" t="str">
        <f>IF(TRIM(G199)&lt;&gt;"",COUNTA(G$9:$G199)&amp;"","")</f>
        <v>146</v>
      </c>
      <c r="B199" s="123" t="s">
        <v>736</v>
      </c>
      <c r="C199" s="123" t="s">
        <v>736</v>
      </c>
      <c r="D199" s="50"/>
      <c r="E199" s="195" t="s">
        <v>747</v>
      </c>
      <c r="F199" s="124">
        <f>F200</f>
        <v>1</v>
      </c>
      <c r="G199" s="125" t="s">
        <v>250</v>
      </c>
      <c r="H199" s="33"/>
      <c r="I199" s="82"/>
      <c r="J199" s="34"/>
      <c r="K199" s="35">
        <f t="shared" ref="K199" si="222">IF(F199=0,"",J199*I199)</f>
        <v>0</v>
      </c>
      <c r="L199" s="36">
        <f t="shared" ref="L199" si="223">IF(F199=0,"",L$14)</f>
        <v>73.03</v>
      </c>
      <c r="M199" s="37"/>
      <c r="N199" s="37">
        <f t="shared" ref="N199" si="224">IF(F199=0,"",M199*I199)</f>
        <v>0</v>
      </c>
      <c r="O199" s="35">
        <f t="shared" ref="O199" si="225">IF(F199=0,"",N199*L199)</f>
        <v>0</v>
      </c>
      <c r="P199" s="38">
        <f t="shared" ref="P199" si="226">IF(F199=0,"",K199+O199)</f>
        <v>0</v>
      </c>
      <c r="Q199" s="39"/>
    </row>
    <row r="200" spans="1:17" x14ac:dyDescent="0.25">
      <c r="A200" s="122" t="str">
        <f>IF(TRIM(G200)&lt;&gt;"",COUNTA(G$9:$G200)&amp;"","")</f>
        <v>147</v>
      </c>
      <c r="B200" s="123" t="s">
        <v>736</v>
      </c>
      <c r="C200" s="123" t="s">
        <v>736</v>
      </c>
      <c r="D200" s="50"/>
      <c r="E200" s="195" t="s">
        <v>745</v>
      </c>
      <c r="F200" s="124">
        <v>1</v>
      </c>
      <c r="G200" s="125" t="s">
        <v>250</v>
      </c>
      <c r="H200" s="33"/>
      <c r="I200" s="82"/>
      <c r="J200" s="34"/>
      <c r="K200" s="35">
        <f t="shared" si="217"/>
        <v>0</v>
      </c>
      <c r="L200" s="36">
        <f t="shared" si="218"/>
        <v>73.03</v>
      </c>
      <c r="M200" s="37"/>
      <c r="N200" s="37">
        <f t="shared" si="219"/>
        <v>0</v>
      </c>
      <c r="O200" s="35">
        <f t="shared" si="220"/>
        <v>0</v>
      </c>
      <c r="P200" s="38">
        <f t="shared" si="221"/>
        <v>0</v>
      </c>
      <c r="Q200" s="39"/>
    </row>
    <row r="201" spans="1:17" x14ac:dyDescent="0.25">
      <c r="A201" s="122" t="str">
        <f>IF(TRIM(G201)&lt;&gt;"",COUNTA(G$9:$G201)&amp;"","")</f>
        <v>148</v>
      </c>
      <c r="B201" s="123" t="s">
        <v>736</v>
      </c>
      <c r="C201" s="123" t="s">
        <v>736</v>
      </c>
      <c r="D201" s="50"/>
      <c r="E201" s="195" t="s">
        <v>746</v>
      </c>
      <c r="F201" s="124">
        <v>2</v>
      </c>
      <c r="G201" s="125" t="s">
        <v>250</v>
      </c>
      <c r="H201" s="33"/>
      <c r="I201" s="82"/>
      <c r="J201" s="34"/>
      <c r="K201" s="35">
        <f t="shared" si="205"/>
        <v>0</v>
      </c>
      <c r="L201" s="36">
        <f t="shared" si="206"/>
        <v>73.03</v>
      </c>
      <c r="M201" s="37"/>
      <c r="N201" s="37">
        <f t="shared" si="208"/>
        <v>0</v>
      </c>
      <c r="O201" s="35">
        <f t="shared" si="209"/>
        <v>0</v>
      </c>
      <c r="P201" s="38">
        <f t="shared" si="210"/>
        <v>0</v>
      </c>
      <c r="Q201" s="39"/>
    </row>
    <row r="202" spans="1:17" x14ac:dyDescent="0.25">
      <c r="A202" s="122" t="str">
        <f>IF(TRIM(G202)&lt;&gt;"",COUNTA(G$9:$G202)&amp;"","")</f>
        <v>149</v>
      </c>
      <c r="B202" s="123" t="s">
        <v>736</v>
      </c>
      <c r="C202" s="123" t="s">
        <v>736</v>
      </c>
      <c r="D202" s="50"/>
      <c r="E202" s="195" t="s">
        <v>738</v>
      </c>
      <c r="F202" s="124">
        <f>F197/16*1.5</f>
        <v>17.1834375</v>
      </c>
      <c r="G202" s="125" t="s">
        <v>250</v>
      </c>
      <c r="H202" s="33"/>
      <c r="I202" s="82"/>
      <c r="J202" s="34"/>
      <c r="K202" s="35">
        <f t="shared" si="205"/>
        <v>0</v>
      </c>
      <c r="L202" s="36">
        <f t="shared" si="206"/>
        <v>73.03</v>
      </c>
      <c r="M202" s="37"/>
      <c r="N202" s="37">
        <f t="shared" si="208"/>
        <v>0</v>
      </c>
      <c r="O202" s="35">
        <f t="shared" si="209"/>
        <v>0</v>
      </c>
      <c r="P202" s="38">
        <f t="shared" si="210"/>
        <v>0</v>
      </c>
      <c r="Q202" s="39"/>
    </row>
    <row r="203" spans="1:17" x14ac:dyDescent="0.25">
      <c r="A203" s="122" t="str">
        <f>IF(TRIM(G203)&lt;&gt;"",COUNTA(G$9:$G203)&amp;"","")</f>
        <v>150</v>
      </c>
      <c r="B203" s="123" t="s">
        <v>736</v>
      </c>
      <c r="C203" s="123" t="s">
        <v>736</v>
      </c>
      <c r="D203" s="50"/>
      <c r="E203" s="195" t="s">
        <v>739</v>
      </c>
      <c r="F203" s="124">
        <f>F197/1.5*1.5</f>
        <v>183.29</v>
      </c>
      <c r="G203" s="125" t="s">
        <v>250</v>
      </c>
      <c r="H203" s="33"/>
      <c r="I203" s="82"/>
      <c r="J203" s="34"/>
      <c r="K203" s="35">
        <f t="shared" si="205"/>
        <v>0</v>
      </c>
      <c r="L203" s="36">
        <f t="shared" si="206"/>
        <v>73.03</v>
      </c>
      <c r="M203" s="37"/>
      <c r="N203" s="37">
        <f t="shared" si="208"/>
        <v>0</v>
      </c>
      <c r="O203" s="35">
        <f t="shared" si="209"/>
        <v>0</v>
      </c>
      <c r="P203" s="38">
        <f t="shared" si="210"/>
        <v>0</v>
      </c>
      <c r="Q203" s="39"/>
    </row>
    <row r="204" spans="1:17" x14ac:dyDescent="0.25">
      <c r="A204" s="122" t="str">
        <f>IF(TRIM(G204)&lt;&gt;"",COUNTA(G$9:$G204)&amp;"","")</f>
        <v>151</v>
      </c>
      <c r="B204" s="123" t="s">
        <v>736</v>
      </c>
      <c r="C204" s="123" t="s">
        <v>736</v>
      </c>
      <c r="D204" s="50"/>
      <c r="E204" s="195" t="s">
        <v>740</v>
      </c>
      <c r="F204" s="124">
        <v>15</v>
      </c>
      <c r="G204" s="125" t="s">
        <v>250</v>
      </c>
      <c r="H204" s="33"/>
      <c r="I204" s="82"/>
      <c r="J204" s="34"/>
      <c r="K204" s="35">
        <f t="shared" si="205"/>
        <v>0</v>
      </c>
      <c r="L204" s="36">
        <f t="shared" si="206"/>
        <v>73.03</v>
      </c>
      <c r="M204" s="37"/>
      <c r="N204" s="37">
        <f t="shared" si="208"/>
        <v>0</v>
      </c>
      <c r="O204" s="35">
        <f t="shared" si="209"/>
        <v>0</v>
      </c>
      <c r="P204" s="38">
        <f t="shared" si="210"/>
        <v>0</v>
      </c>
      <c r="Q204" s="39"/>
    </row>
    <row r="205" spans="1:17" x14ac:dyDescent="0.25">
      <c r="A205" s="122" t="str">
        <f>IF(TRIM(G205)&lt;&gt;"",COUNTA(G$9:$G205)&amp;"","")</f>
        <v>152</v>
      </c>
      <c r="B205" s="123" t="s">
        <v>736</v>
      </c>
      <c r="C205" s="123" t="s">
        <v>736</v>
      </c>
      <c r="D205" s="50"/>
      <c r="E205" s="195" t="s">
        <v>741</v>
      </c>
      <c r="F205" s="124">
        <v>15</v>
      </c>
      <c r="G205" s="125" t="s">
        <v>250</v>
      </c>
      <c r="H205" s="33">
        <f t="shared" ref="H205" si="227">IF(F205=0,"",0)</f>
        <v>0</v>
      </c>
      <c r="I205" s="82">
        <f t="shared" si="203"/>
        <v>15</v>
      </c>
      <c r="J205" s="34">
        <v>14.49</v>
      </c>
      <c r="K205" s="35">
        <f t="shared" si="205"/>
        <v>217.35</v>
      </c>
      <c r="L205" s="36">
        <f t="shared" si="206"/>
        <v>73.03</v>
      </c>
      <c r="M205" s="37">
        <v>5.2999999999999999E-2</v>
      </c>
      <c r="N205" s="37">
        <f t="shared" si="208"/>
        <v>0.79499999999999993</v>
      </c>
      <c r="O205" s="35">
        <f t="shared" si="209"/>
        <v>58.058849999999993</v>
      </c>
      <c r="P205" s="38">
        <f t="shared" si="210"/>
        <v>275.40884999999997</v>
      </c>
      <c r="Q205" s="39"/>
    </row>
    <row r="206" spans="1:17" x14ac:dyDescent="0.25">
      <c r="A206" s="122" t="str">
        <f>IF(TRIM(G206)&lt;&gt;"",COUNTA(G$9:$G206)&amp;"","")</f>
        <v>153</v>
      </c>
      <c r="B206" s="123" t="s">
        <v>736</v>
      </c>
      <c r="C206" s="123" t="s">
        <v>736</v>
      </c>
      <c r="D206" s="50"/>
      <c r="E206" s="89" t="s">
        <v>744</v>
      </c>
      <c r="F206" s="124">
        <f>2*14.5+4*12.5+7*25.5+2*13</f>
        <v>283.5</v>
      </c>
      <c r="G206" s="125" t="s">
        <v>228</v>
      </c>
      <c r="H206" s="33">
        <v>0.1</v>
      </c>
      <c r="I206" s="82">
        <f t="shared" si="203"/>
        <v>311.85000000000002</v>
      </c>
      <c r="J206" s="34">
        <v>11.15</v>
      </c>
      <c r="K206" s="35">
        <f t="shared" si="205"/>
        <v>3477.1275000000005</v>
      </c>
      <c r="L206" s="36">
        <f t="shared" si="206"/>
        <v>73.03</v>
      </c>
      <c r="M206" s="37">
        <v>5.7000000000000002E-2</v>
      </c>
      <c r="N206" s="37">
        <f t="shared" si="208"/>
        <v>17.775450000000003</v>
      </c>
      <c r="O206" s="35">
        <f t="shared" si="209"/>
        <v>1298.1411135000003</v>
      </c>
      <c r="P206" s="38">
        <f t="shared" si="210"/>
        <v>4775.2686135000004</v>
      </c>
      <c r="Q206" s="39"/>
    </row>
    <row r="207" spans="1:17" x14ac:dyDescent="0.25">
      <c r="A207" s="122" t="str">
        <f>IF(TRIM(G207)&lt;&gt;"",COUNTA(G$9:$G207)&amp;"","")</f>
        <v>154</v>
      </c>
      <c r="B207" s="123" t="s">
        <v>736</v>
      </c>
      <c r="C207" s="123" t="s">
        <v>736</v>
      </c>
      <c r="D207" s="50"/>
      <c r="E207" s="195" t="s">
        <v>742</v>
      </c>
      <c r="F207" s="124">
        <v>30</v>
      </c>
      <c r="G207" s="125" t="s">
        <v>250</v>
      </c>
      <c r="H207" s="33"/>
      <c r="I207" s="82"/>
      <c r="J207" s="34"/>
      <c r="K207" s="35">
        <f t="shared" si="205"/>
        <v>0</v>
      </c>
      <c r="L207" s="36">
        <f t="shared" si="206"/>
        <v>73.03</v>
      </c>
      <c r="M207" s="37"/>
      <c r="N207" s="37">
        <f t="shared" si="208"/>
        <v>0</v>
      </c>
      <c r="O207" s="35">
        <f t="shared" si="209"/>
        <v>0</v>
      </c>
      <c r="P207" s="38">
        <f t="shared" si="210"/>
        <v>0</v>
      </c>
      <c r="Q207" s="39"/>
    </row>
    <row r="208" spans="1:17" x14ac:dyDescent="0.25">
      <c r="A208" s="122" t="str">
        <f>IF(TRIM(G208)&lt;&gt;"",COUNTA(G$9:$G208)&amp;"","")</f>
        <v>155</v>
      </c>
      <c r="B208" s="123" t="s">
        <v>736</v>
      </c>
      <c r="C208" s="123" t="s">
        <v>736</v>
      </c>
      <c r="D208" s="50"/>
      <c r="E208" s="195" t="s">
        <v>743</v>
      </c>
      <c r="F208" s="124">
        <f>F206/3*1.5</f>
        <v>141.75</v>
      </c>
      <c r="G208" s="125" t="s">
        <v>250</v>
      </c>
      <c r="H208" s="33"/>
      <c r="I208" s="82"/>
      <c r="J208" s="34"/>
      <c r="K208" s="35">
        <f t="shared" si="205"/>
        <v>0</v>
      </c>
      <c r="L208" s="36">
        <f t="shared" si="206"/>
        <v>73.03</v>
      </c>
      <c r="M208" s="37"/>
      <c r="N208" s="37">
        <f t="shared" si="208"/>
        <v>0</v>
      </c>
      <c r="O208" s="35">
        <f t="shared" si="209"/>
        <v>0</v>
      </c>
      <c r="P208" s="38">
        <f t="shared" si="210"/>
        <v>0</v>
      </c>
      <c r="Q208" s="39"/>
    </row>
    <row r="209" spans="1:17" ht="15.75" thickBot="1" x14ac:dyDescent="0.3">
      <c r="A209" s="122" t="str">
        <f>IF(TRIM(G209)&lt;&gt;"",COUNTA(G$9:$G209)&amp;"","")</f>
        <v/>
      </c>
      <c r="B209" s="126"/>
      <c r="C209" s="126"/>
      <c r="D209" s="50"/>
      <c r="E209" s="127"/>
      <c r="F209" s="124"/>
      <c r="G209" s="125"/>
      <c r="H209" s="33" t="str">
        <f t="shared" si="202"/>
        <v/>
      </c>
      <c r="I209" s="82" t="str">
        <f t="shared" si="203"/>
        <v/>
      </c>
      <c r="J209" s="34" t="str">
        <f t="shared" si="204"/>
        <v/>
      </c>
      <c r="K209" s="35" t="str">
        <f t="shared" si="205"/>
        <v/>
      </c>
      <c r="L209" s="36" t="str">
        <f t="shared" si="206"/>
        <v/>
      </c>
      <c r="M209" s="37" t="str">
        <f t="shared" si="207"/>
        <v/>
      </c>
      <c r="N209" s="37" t="str">
        <f t="shared" si="208"/>
        <v/>
      </c>
      <c r="O209" s="35" t="str">
        <f t="shared" si="209"/>
        <v/>
      </c>
      <c r="P209" s="38" t="str">
        <f t="shared" si="210"/>
        <v/>
      </c>
      <c r="Q209" s="39"/>
    </row>
    <row r="210" spans="1:17" s="3" customFormat="1" ht="16.5" thickBot="1" x14ac:dyDescent="0.3">
      <c r="A210" s="122" t="str">
        <f>IF(TRIM(G210)&lt;&gt;"",COUNTA(G$9:$G210)&amp;"","")</f>
        <v/>
      </c>
      <c r="B210" s="1"/>
      <c r="C210" s="1"/>
      <c r="D210" s="30"/>
      <c r="E210" s="29"/>
      <c r="F210" s="80"/>
      <c r="G210" s="81"/>
      <c r="H210" s="151" t="s">
        <v>12</v>
      </c>
      <c r="I210" s="152"/>
      <c r="J210" s="68">
        <f>SUM(K$171:K$209)</f>
        <v>81188.430630000046</v>
      </c>
      <c r="K210" s="390" t="s">
        <v>13</v>
      </c>
      <c r="L210" s="391"/>
      <c r="M210" s="69">
        <f>SUM(O$171:O$209)</f>
        <v>49593.465668040008</v>
      </c>
      <c r="N210" s="390" t="s">
        <v>43</v>
      </c>
      <c r="O210" s="391"/>
      <c r="P210" s="70">
        <f>SUM(N$171:N$209)</f>
        <v>679.08346800000015</v>
      </c>
      <c r="Q210" s="71">
        <f>SUM(P$171:P$209)</f>
        <v>130781.89629804001</v>
      </c>
    </row>
    <row r="211" spans="1:17" ht="20.100000000000001" customHeight="1" x14ac:dyDescent="0.25">
      <c r="A211" s="153" t="str">
        <f>IF(TRIM(G211)&lt;&gt;"",COUNTA(G$9:$G211)&amp;"","")</f>
        <v/>
      </c>
      <c r="B211" s="31"/>
      <c r="C211" s="162" t="s">
        <v>192</v>
      </c>
      <c r="D211" s="154" t="s">
        <v>47</v>
      </c>
      <c r="E211" s="154" t="s">
        <v>46</v>
      </c>
      <c r="F211" s="78"/>
      <c r="G211" s="79"/>
      <c r="H211" s="31"/>
      <c r="I211" s="79"/>
      <c r="J211" s="31"/>
      <c r="K211" s="31"/>
      <c r="L211" s="31"/>
      <c r="M211" s="31"/>
      <c r="N211" s="31"/>
      <c r="O211" s="31"/>
      <c r="P211" s="31"/>
      <c r="Q211" s="155"/>
    </row>
    <row r="212" spans="1:17" s="28" customFormat="1" ht="19.149999999999999" customHeight="1" x14ac:dyDescent="0.25">
      <c r="A212" s="122" t="str">
        <f>IF(TRIM(G212)&lt;&gt;"",COUNTA(G$9:$G212)&amp;"","")</f>
        <v/>
      </c>
      <c r="B212" s="49"/>
      <c r="C212" s="49"/>
      <c r="D212" s="50" t="s">
        <v>102</v>
      </c>
      <c r="E212" s="201" t="s">
        <v>101</v>
      </c>
      <c r="F212" s="124"/>
      <c r="G212" s="200"/>
      <c r="H212" s="33" t="str">
        <f t="shared" ref="H212:H249" si="228">IF(F212=0,"",0)</f>
        <v/>
      </c>
      <c r="I212" s="82" t="str">
        <f t="shared" ref="I212:I254" si="229">IF(F212=0,"",F212+(F212*H212))</f>
        <v/>
      </c>
      <c r="J212" s="34" t="str">
        <f t="shared" ref="J212:J248" si="230">IF(F212=0,"",0)</f>
        <v/>
      </c>
      <c r="K212" s="35" t="str">
        <f t="shared" ref="K212:K254" si="231">IF(F212=0,"",J212*I212)</f>
        <v/>
      </c>
      <c r="L212" s="36" t="str">
        <f t="shared" ref="L212:L254" si="232">IF(F212=0,"",L$14)</f>
        <v/>
      </c>
      <c r="M212" s="37" t="str">
        <f t="shared" ref="M212:M248" si="233">IF(F212=0,"",0)</f>
        <v/>
      </c>
      <c r="N212" s="37" t="str">
        <f t="shared" ref="N212:N254" si="234">IF(F212=0,"",M212*I212)</f>
        <v/>
      </c>
      <c r="O212" s="35" t="str">
        <f t="shared" ref="O212:O254" si="235">IF(F212=0,"",N212*L212)</f>
        <v/>
      </c>
      <c r="P212" s="38" t="str">
        <f t="shared" ref="P212:P254" si="236">IF(F212=0,"",K212+O212)</f>
        <v/>
      </c>
      <c r="Q212" s="39"/>
    </row>
    <row r="213" spans="1:17" ht="60" x14ac:dyDescent="0.25">
      <c r="A213" s="122" t="str">
        <f>IF(TRIM(G213)&lt;&gt;"",COUNTA(G$9:$G213)&amp;"","")</f>
        <v>156</v>
      </c>
      <c r="B213" s="123" t="s">
        <v>483</v>
      </c>
      <c r="C213" s="123" t="s">
        <v>483</v>
      </c>
      <c r="D213" s="50"/>
      <c r="E213" s="194" t="s">
        <v>484</v>
      </c>
      <c r="F213" s="124">
        <v>1</v>
      </c>
      <c r="G213" s="200" t="s">
        <v>250</v>
      </c>
      <c r="H213" s="33">
        <f t="shared" si="228"/>
        <v>0</v>
      </c>
      <c r="I213" s="82">
        <f t="shared" si="229"/>
        <v>1</v>
      </c>
      <c r="J213" s="34">
        <f>2904/63*12*9</f>
        <v>4978.2857142857138</v>
      </c>
      <c r="K213" s="35">
        <f t="shared" si="231"/>
        <v>4978.2857142857138</v>
      </c>
      <c r="L213" s="36">
        <f t="shared" si="232"/>
        <v>73.03</v>
      </c>
      <c r="M213" s="37">
        <f>4/63*12*9</f>
        <v>6.8571428571428568</v>
      </c>
      <c r="N213" s="37">
        <f t="shared" si="234"/>
        <v>6.8571428571428568</v>
      </c>
      <c r="O213" s="35">
        <f t="shared" si="235"/>
        <v>500.77714285714285</v>
      </c>
      <c r="P213" s="38">
        <f t="shared" si="236"/>
        <v>5479.062857142857</v>
      </c>
      <c r="Q213" s="39"/>
    </row>
    <row r="214" spans="1:17" s="28" customFormat="1" ht="19.149999999999999" customHeight="1" x14ac:dyDescent="0.25">
      <c r="A214" s="122" t="str">
        <f>IF(TRIM(G214)&lt;&gt;"",COUNTA(G$9:$G214)&amp;"","")</f>
        <v/>
      </c>
      <c r="B214" s="49"/>
      <c r="C214" s="49"/>
      <c r="D214" s="50" t="s">
        <v>104</v>
      </c>
      <c r="E214" s="201" t="s">
        <v>103</v>
      </c>
      <c r="F214" s="124"/>
      <c r="G214" s="200"/>
      <c r="H214" s="33" t="str">
        <f t="shared" si="228"/>
        <v/>
      </c>
      <c r="I214" s="82" t="str">
        <f t="shared" si="229"/>
        <v/>
      </c>
      <c r="J214" s="34" t="str">
        <f t="shared" si="230"/>
        <v/>
      </c>
      <c r="K214" s="35" t="str">
        <f t="shared" si="231"/>
        <v/>
      </c>
      <c r="L214" s="36" t="str">
        <f t="shared" si="232"/>
        <v/>
      </c>
      <c r="M214" s="37" t="str">
        <f t="shared" si="233"/>
        <v/>
      </c>
      <c r="N214" s="37" t="str">
        <f t="shared" si="234"/>
        <v/>
      </c>
      <c r="O214" s="35" t="str">
        <f t="shared" si="235"/>
        <v/>
      </c>
      <c r="P214" s="38" t="str">
        <f t="shared" si="236"/>
        <v/>
      </c>
      <c r="Q214" s="39"/>
    </row>
    <row r="215" spans="1:17" ht="45" x14ac:dyDescent="0.25">
      <c r="A215" s="122" t="str">
        <f>IF(TRIM(G215)&lt;&gt;"",COUNTA(G$9:$G215)&amp;"","")</f>
        <v>157</v>
      </c>
      <c r="B215" s="123" t="s">
        <v>483</v>
      </c>
      <c r="C215" s="123" t="s">
        <v>483</v>
      </c>
      <c r="D215" s="50"/>
      <c r="E215" s="111" t="s">
        <v>702</v>
      </c>
      <c r="F215" s="124">
        <v>9</v>
      </c>
      <c r="G215" s="200" t="s">
        <v>250</v>
      </c>
      <c r="H215" s="33">
        <f t="shared" si="228"/>
        <v>0</v>
      </c>
      <c r="I215" s="82">
        <f t="shared" si="229"/>
        <v>9</v>
      </c>
      <c r="J215" s="34">
        <f>(432/18.7*3*7.67)+193</f>
        <v>724.56791443850273</v>
      </c>
      <c r="K215" s="35">
        <f t="shared" si="231"/>
        <v>6521.1112299465249</v>
      </c>
      <c r="L215" s="36">
        <f t="shared" si="232"/>
        <v>73.03</v>
      </c>
      <c r="M215" s="37">
        <v>2.33</v>
      </c>
      <c r="N215" s="37">
        <f t="shared" si="234"/>
        <v>20.97</v>
      </c>
      <c r="O215" s="35">
        <f t="shared" si="235"/>
        <v>1531.4391000000001</v>
      </c>
      <c r="P215" s="38">
        <f t="shared" si="236"/>
        <v>8052.5503299465254</v>
      </c>
      <c r="Q215" s="39"/>
    </row>
    <row r="216" spans="1:17" ht="45" x14ac:dyDescent="0.25">
      <c r="A216" s="122" t="str">
        <f>IF(TRIM(G216)&lt;&gt;"",COUNTA(G$9:$G216)&amp;"","")</f>
        <v>158</v>
      </c>
      <c r="B216" s="123" t="s">
        <v>483</v>
      </c>
      <c r="C216" s="123" t="s">
        <v>483</v>
      </c>
      <c r="D216" s="50"/>
      <c r="E216" s="111" t="s">
        <v>703</v>
      </c>
      <c r="F216" s="124">
        <v>11</v>
      </c>
      <c r="G216" s="200" t="s">
        <v>250</v>
      </c>
      <c r="H216" s="33">
        <f t="shared" si="228"/>
        <v>0</v>
      </c>
      <c r="I216" s="82">
        <f t="shared" si="229"/>
        <v>11</v>
      </c>
      <c r="J216" s="34">
        <f>(432/18.7*3*7.67)+193</f>
        <v>724.56791443850273</v>
      </c>
      <c r="K216" s="35">
        <f t="shared" si="231"/>
        <v>7970.2470588235301</v>
      </c>
      <c r="L216" s="36">
        <f t="shared" si="232"/>
        <v>73.03</v>
      </c>
      <c r="M216" s="37">
        <v>2.33</v>
      </c>
      <c r="N216" s="37">
        <f t="shared" si="234"/>
        <v>25.630000000000003</v>
      </c>
      <c r="O216" s="35">
        <f t="shared" si="235"/>
        <v>1871.7589000000003</v>
      </c>
      <c r="P216" s="38">
        <f t="shared" si="236"/>
        <v>9842.0059588235308</v>
      </c>
      <c r="Q216" s="39"/>
    </row>
    <row r="217" spans="1:17" s="28" customFormat="1" ht="19.149999999999999" customHeight="1" x14ac:dyDescent="0.25">
      <c r="A217" s="122" t="str">
        <f>IF(TRIM(G217)&lt;&gt;"",COUNTA(G$9:$G217)&amp;"","")</f>
        <v/>
      </c>
      <c r="B217" s="49"/>
      <c r="C217" s="49"/>
      <c r="D217" s="50" t="s">
        <v>485</v>
      </c>
      <c r="E217" s="202" t="s">
        <v>105</v>
      </c>
      <c r="F217" s="124"/>
      <c r="G217" s="200"/>
      <c r="H217" s="33" t="str">
        <f t="shared" si="228"/>
        <v/>
      </c>
      <c r="I217" s="82" t="str">
        <f t="shared" si="229"/>
        <v/>
      </c>
      <c r="J217" s="34" t="str">
        <f t="shared" si="230"/>
        <v/>
      </c>
      <c r="K217" s="35" t="str">
        <f t="shared" si="231"/>
        <v/>
      </c>
      <c r="L217" s="36" t="str">
        <f t="shared" si="232"/>
        <v/>
      </c>
      <c r="M217" s="37" t="str">
        <f t="shared" si="233"/>
        <v/>
      </c>
      <c r="N217" s="37" t="str">
        <f t="shared" si="234"/>
        <v/>
      </c>
      <c r="O217" s="35" t="str">
        <f t="shared" si="235"/>
        <v/>
      </c>
      <c r="P217" s="38" t="str">
        <f t="shared" si="236"/>
        <v/>
      </c>
      <c r="Q217" s="39"/>
    </row>
    <row r="218" spans="1:17" ht="45" x14ac:dyDescent="0.25">
      <c r="A218" s="122" t="str">
        <f>IF(TRIM(G218)&lt;&gt;"",COUNTA(G$9:$G218)&amp;"","")</f>
        <v>159</v>
      </c>
      <c r="B218" s="123" t="s">
        <v>483</v>
      </c>
      <c r="C218" s="123" t="s">
        <v>483</v>
      </c>
      <c r="D218" s="50"/>
      <c r="E218" s="203" t="s">
        <v>486</v>
      </c>
      <c r="F218" s="106">
        <v>2</v>
      </c>
      <c r="G218" s="200" t="s">
        <v>250</v>
      </c>
      <c r="H218" s="33">
        <f t="shared" si="228"/>
        <v>0</v>
      </c>
      <c r="I218" s="82">
        <f t="shared" si="229"/>
        <v>2</v>
      </c>
      <c r="J218" s="34">
        <f>524.15/6*2.5*4</f>
        <v>873.58333333333337</v>
      </c>
      <c r="K218" s="35">
        <f t="shared" si="231"/>
        <v>1747.1666666666667</v>
      </c>
      <c r="L218" s="36">
        <f t="shared" si="232"/>
        <v>73.03</v>
      </c>
      <c r="M218" s="37">
        <f>0.8/6*2.5*4</f>
        <v>1.3333333333333333</v>
      </c>
      <c r="N218" s="37">
        <f t="shared" si="234"/>
        <v>2.6666666666666665</v>
      </c>
      <c r="O218" s="35">
        <f t="shared" si="235"/>
        <v>194.74666666666667</v>
      </c>
      <c r="P218" s="38">
        <f t="shared" si="236"/>
        <v>1941.9133333333334</v>
      </c>
      <c r="Q218" s="39"/>
    </row>
    <row r="219" spans="1:17" ht="45" x14ac:dyDescent="0.25">
      <c r="A219" s="122" t="str">
        <f>IF(TRIM(G219)&lt;&gt;"",COUNTA(G$9:$G219)&amp;"","")</f>
        <v>160</v>
      </c>
      <c r="B219" s="123" t="s">
        <v>483</v>
      </c>
      <c r="C219" s="123" t="s">
        <v>483</v>
      </c>
      <c r="D219" s="50"/>
      <c r="E219" s="203" t="s">
        <v>487</v>
      </c>
      <c r="F219" s="106">
        <v>1</v>
      </c>
      <c r="G219" s="200" t="s">
        <v>250</v>
      </c>
      <c r="H219" s="33">
        <f t="shared" si="228"/>
        <v>0</v>
      </c>
      <c r="I219" s="82">
        <f t="shared" si="229"/>
        <v>1</v>
      </c>
      <c r="J219" s="34">
        <f>524.15/6*6*5</f>
        <v>2620.75</v>
      </c>
      <c r="K219" s="35">
        <f t="shared" si="231"/>
        <v>2620.75</v>
      </c>
      <c r="L219" s="36">
        <f t="shared" si="232"/>
        <v>73.03</v>
      </c>
      <c r="M219" s="37">
        <f>0.8/6*6*5</f>
        <v>4</v>
      </c>
      <c r="N219" s="37">
        <f t="shared" si="234"/>
        <v>4</v>
      </c>
      <c r="O219" s="35">
        <f t="shared" si="235"/>
        <v>292.12</v>
      </c>
      <c r="P219" s="38">
        <f t="shared" si="236"/>
        <v>2912.87</v>
      </c>
      <c r="Q219" s="39"/>
    </row>
    <row r="220" spans="1:17" ht="45" x14ac:dyDescent="0.25">
      <c r="A220" s="122" t="str">
        <f>IF(TRIM(G220)&lt;&gt;"",COUNTA(G$9:$G220)&amp;"","")</f>
        <v>161</v>
      </c>
      <c r="B220" s="123" t="s">
        <v>483</v>
      </c>
      <c r="C220" s="123" t="s">
        <v>483</v>
      </c>
      <c r="D220" s="50"/>
      <c r="E220" s="203" t="s">
        <v>488</v>
      </c>
      <c r="F220" s="106">
        <v>1</v>
      </c>
      <c r="G220" s="200" t="s">
        <v>250</v>
      </c>
      <c r="H220" s="33">
        <f t="shared" si="228"/>
        <v>0</v>
      </c>
      <c r="I220" s="82">
        <f t="shared" si="229"/>
        <v>1</v>
      </c>
      <c r="J220" s="34">
        <f>524.15/6*4.67*5</f>
        <v>2039.8170833333334</v>
      </c>
      <c r="K220" s="35">
        <f t="shared" si="231"/>
        <v>2039.8170833333334</v>
      </c>
      <c r="L220" s="36">
        <f t="shared" si="232"/>
        <v>73.03</v>
      </c>
      <c r="M220" s="37">
        <f>0.8/6*4.67*5</f>
        <v>3.1133333333333333</v>
      </c>
      <c r="N220" s="37">
        <f t="shared" si="234"/>
        <v>3.1133333333333333</v>
      </c>
      <c r="O220" s="35">
        <f t="shared" si="235"/>
        <v>227.36673333333334</v>
      </c>
      <c r="P220" s="38">
        <f t="shared" si="236"/>
        <v>2267.1838166666666</v>
      </c>
      <c r="Q220" s="39"/>
    </row>
    <row r="221" spans="1:17" ht="45" x14ac:dyDescent="0.25">
      <c r="A221" s="122" t="str">
        <f>IF(TRIM(G221)&lt;&gt;"",COUNTA(G$9:$G221)&amp;"","")</f>
        <v>162</v>
      </c>
      <c r="B221" s="123" t="s">
        <v>483</v>
      </c>
      <c r="C221" s="123" t="s">
        <v>483</v>
      </c>
      <c r="D221" s="50"/>
      <c r="E221" s="203" t="s">
        <v>489</v>
      </c>
      <c r="F221" s="106">
        <v>1</v>
      </c>
      <c r="G221" s="200" t="s">
        <v>250</v>
      </c>
      <c r="H221" s="33">
        <f t="shared" si="228"/>
        <v>0</v>
      </c>
      <c r="I221" s="82">
        <f t="shared" si="229"/>
        <v>1</v>
      </c>
      <c r="J221" s="34">
        <f>524.15/6*2*1.5</f>
        <v>262.07499999999999</v>
      </c>
      <c r="K221" s="35">
        <f t="shared" si="231"/>
        <v>262.07499999999999</v>
      </c>
      <c r="L221" s="36">
        <f t="shared" si="232"/>
        <v>73.03</v>
      </c>
      <c r="M221" s="37">
        <f>0.8/6*2*1.5</f>
        <v>0.4</v>
      </c>
      <c r="N221" s="37">
        <f t="shared" si="234"/>
        <v>0.4</v>
      </c>
      <c r="O221" s="35">
        <f t="shared" si="235"/>
        <v>29.212000000000003</v>
      </c>
      <c r="P221" s="38">
        <f t="shared" si="236"/>
        <v>291.28699999999998</v>
      </c>
      <c r="Q221" s="39"/>
    </row>
    <row r="222" spans="1:17" ht="45" x14ac:dyDescent="0.25">
      <c r="A222" s="122" t="str">
        <f>IF(TRIM(G222)&lt;&gt;"",COUNTA(G$9:$G222)&amp;"","")</f>
        <v>163</v>
      </c>
      <c r="B222" s="123" t="s">
        <v>483</v>
      </c>
      <c r="C222" s="123" t="s">
        <v>483</v>
      </c>
      <c r="D222" s="50"/>
      <c r="E222" s="203" t="s">
        <v>490</v>
      </c>
      <c r="F222" s="106">
        <v>1</v>
      </c>
      <c r="G222" s="200" t="s">
        <v>250</v>
      </c>
      <c r="H222" s="33">
        <f t="shared" si="228"/>
        <v>0</v>
      </c>
      <c r="I222" s="82">
        <f t="shared" si="229"/>
        <v>1</v>
      </c>
      <c r="J222" s="34">
        <f>524.15/6*6*4</f>
        <v>2096.6</v>
      </c>
      <c r="K222" s="35">
        <f t="shared" si="231"/>
        <v>2096.6</v>
      </c>
      <c r="L222" s="36">
        <f t="shared" si="232"/>
        <v>73.03</v>
      </c>
      <c r="M222" s="37">
        <f>0.8/6*6*4</f>
        <v>3.2</v>
      </c>
      <c r="N222" s="37">
        <f t="shared" si="234"/>
        <v>3.2</v>
      </c>
      <c r="O222" s="35">
        <f t="shared" si="235"/>
        <v>233.69600000000003</v>
      </c>
      <c r="P222" s="38">
        <f t="shared" si="236"/>
        <v>2330.2959999999998</v>
      </c>
      <c r="Q222" s="39"/>
    </row>
    <row r="223" spans="1:17" ht="45" x14ac:dyDescent="0.25">
      <c r="A223" s="122" t="str">
        <f>IF(TRIM(G223)&lt;&gt;"",COUNTA(G$9:$G223)&amp;"","")</f>
        <v>164</v>
      </c>
      <c r="B223" s="123" t="s">
        <v>483</v>
      </c>
      <c r="C223" s="123" t="s">
        <v>483</v>
      </c>
      <c r="D223" s="50"/>
      <c r="E223" s="203" t="s">
        <v>491</v>
      </c>
      <c r="F223" s="106">
        <v>1</v>
      </c>
      <c r="G223" s="200" t="s">
        <v>250</v>
      </c>
      <c r="H223" s="33">
        <f t="shared" si="228"/>
        <v>0</v>
      </c>
      <c r="I223" s="82">
        <f t="shared" si="229"/>
        <v>1</v>
      </c>
      <c r="J223" s="34">
        <f>524.15/6*3*4</f>
        <v>1048.3</v>
      </c>
      <c r="K223" s="35">
        <f t="shared" si="231"/>
        <v>1048.3</v>
      </c>
      <c r="L223" s="36">
        <f t="shared" si="232"/>
        <v>73.03</v>
      </c>
      <c r="M223" s="37">
        <f>0.8/6*3*4</f>
        <v>1.6</v>
      </c>
      <c r="N223" s="37">
        <f t="shared" si="234"/>
        <v>1.6</v>
      </c>
      <c r="O223" s="35">
        <f t="shared" si="235"/>
        <v>116.84800000000001</v>
      </c>
      <c r="P223" s="38">
        <f t="shared" si="236"/>
        <v>1165.1479999999999</v>
      </c>
      <c r="Q223" s="39"/>
    </row>
    <row r="224" spans="1:17" ht="45" x14ac:dyDescent="0.25">
      <c r="A224" s="122" t="str">
        <f>IF(TRIM(G224)&lt;&gt;"",COUNTA(G$9:$G224)&amp;"","")</f>
        <v>165</v>
      </c>
      <c r="B224" s="123" t="s">
        <v>483</v>
      </c>
      <c r="C224" s="123" t="s">
        <v>483</v>
      </c>
      <c r="D224" s="50"/>
      <c r="E224" s="203" t="s">
        <v>492</v>
      </c>
      <c r="F224" s="106">
        <v>1</v>
      </c>
      <c r="G224" s="200" t="s">
        <v>250</v>
      </c>
      <c r="H224" s="33">
        <f t="shared" si="228"/>
        <v>0</v>
      </c>
      <c r="I224" s="82">
        <f t="shared" si="229"/>
        <v>1</v>
      </c>
      <c r="J224" s="34">
        <f>524.15/6*6*4.5</f>
        <v>2358.6749999999997</v>
      </c>
      <c r="K224" s="35">
        <f t="shared" si="231"/>
        <v>2358.6749999999997</v>
      </c>
      <c r="L224" s="36">
        <f t="shared" si="232"/>
        <v>73.03</v>
      </c>
      <c r="M224" s="37">
        <f>0.8/6*6*4.5</f>
        <v>3.6</v>
      </c>
      <c r="N224" s="37">
        <f t="shared" si="234"/>
        <v>3.6</v>
      </c>
      <c r="O224" s="35">
        <f t="shared" si="235"/>
        <v>262.90800000000002</v>
      </c>
      <c r="P224" s="38">
        <f t="shared" si="236"/>
        <v>2621.5829999999996</v>
      </c>
      <c r="Q224" s="39"/>
    </row>
    <row r="225" spans="1:17" ht="45" x14ac:dyDescent="0.25">
      <c r="A225" s="122" t="str">
        <f>IF(TRIM(G225)&lt;&gt;"",COUNTA(G$9:$G225)&amp;"","")</f>
        <v>166</v>
      </c>
      <c r="B225" s="123" t="s">
        <v>483</v>
      </c>
      <c r="C225" s="123" t="s">
        <v>483</v>
      </c>
      <c r="D225" s="50"/>
      <c r="E225" s="203" t="s">
        <v>493</v>
      </c>
      <c r="F225" s="106">
        <v>1</v>
      </c>
      <c r="G225" s="200" t="s">
        <v>250</v>
      </c>
      <c r="H225" s="33">
        <f t="shared" si="228"/>
        <v>0</v>
      </c>
      <c r="I225" s="82">
        <f t="shared" si="229"/>
        <v>1</v>
      </c>
      <c r="J225" s="34">
        <f>524.15/6*6*4</f>
        <v>2096.6</v>
      </c>
      <c r="K225" s="35">
        <f t="shared" si="231"/>
        <v>2096.6</v>
      </c>
      <c r="L225" s="36">
        <f t="shared" si="232"/>
        <v>73.03</v>
      </c>
      <c r="M225" s="37">
        <f>0.8/6*6*4</f>
        <v>3.2</v>
      </c>
      <c r="N225" s="37">
        <f t="shared" si="234"/>
        <v>3.2</v>
      </c>
      <c r="O225" s="35">
        <f t="shared" si="235"/>
        <v>233.69600000000003</v>
      </c>
      <c r="P225" s="38">
        <f t="shared" si="236"/>
        <v>2330.2959999999998</v>
      </c>
      <c r="Q225" s="39"/>
    </row>
    <row r="226" spans="1:17" ht="45" x14ac:dyDescent="0.25">
      <c r="A226" s="122" t="str">
        <f>IF(TRIM(G226)&lt;&gt;"",COUNTA(G$9:$G226)&amp;"","")</f>
        <v>167</v>
      </c>
      <c r="B226" s="123" t="s">
        <v>483</v>
      </c>
      <c r="C226" s="123" t="s">
        <v>483</v>
      </c>
      <c r="D226" s="50"/>
      <c r="E226" s="203" t="s">
        <v>494</v>
      </c>
      <c r="F226" s="106">
        <v>1</v>
      </c>
      <c r="G226" s="200" t="s">
        <v>250</v>
      </c>
      <c r="H226" s="33">
        <f t="shared" si="228"/>
        <v>0</v>
      </c>
      <c r="I226" s="82">
        <f t="shared" si="229"/>
        <v>1</v>
      </c>
      <c r="J226" s="34">
        <f>524.15/6*3*2.33</f>
        <v>610.63474999999994</v>
      </c>
      <c r="K226" s="35">
        <f t="shared" si="231"/>
        <v>610.63474999999994</v>
      </c>
      <c r="L226" s="36">
        <f t="shared" si="232"/>
        <v>73.03</v>
      </c>
      <c r="M226" s="37">
        <f>0.8/6*3*2.33</f>
        <v>0.93200000000000005</v>
      </c>
      <c r="N226" s="37">
        <f t="shared" si="234"/>
        <v>0.93200000000000005</v>
      </c>
      <c r="O226" s="35">
        <f t="shared" si="235"/>
        <v>68.063960000000009</v>
      </c>
      <c r="P226" s="38">
        <f t="shared" si="236"/>
        <v>678.69870999999989</v>
      </c>
      <c r="Q226" s="39"/>
    </row>
    <row r="227" spans="1:17" ht="45" x14ac:dyDescent="0.25">
      <c r="A227" s="122" t="str">
        <f>IF(TRIM(G227)&lt;&gt;"",COUNTA(G$9:$G227)&amp;"","")</f>
        <v>168</v>
      </c>
      <c r="B227" s="123" t="s">
        <v>483</v>
      </c>
      <c r="C227" s="123" t="s">
        <v>483</v>
      </c>
      <c r="D227" s="50"/>
      <c r="E227" s="203" t="s">
        <v>495</v>
      </c>
      <c r="F227" s="106">
        <v>1</v>
      </c>
      <c r="G227" s="200" t="s">
        <v>250</v>
      </c>
      <c r="H227" s="33">
        <f t="shared" si="228"/>
        <v>0</v>
      </c>
      <c r="I227" s="82">
        <f t="shared" si="229"/>
        <v>1</v>
      </c>
      <c r="J227" s="34">
        <f>524.15/6*6*4</f>
        <v>2096.6</v>
      </c>
      <c r="K227" s="35">
        <f t="shared" si="231"/>
        <v>2096.6</v>
      </c>
      <c r="L227" s="36">
        <f t="shared" si="232"/>
        <v>73.03</v>
      </c>
      <c r="M227" s="37">
        <f>0.8/6*6*4</f>
        <v>3.2</v>
      </c>
      <c r="N227" s="37">
        <f t="shared" si="234"/>
        <v>3.2</v>
      </c>
      <c r="O227" s="35">
        <f t="shared" si="235"/>
        <v>233.69600000000003</v>
      </c>
      <c r="P227" s="38">
        <f t="shared" si="236"/>
        <v>2330.2959999999998</v>
      </c>
      <c r="Q227" s="39"/>
    </row>
    <row r="228" spans="1:17" ht="45" x14ac:dyDescent="0.25">
      <c r="A228" s="122" t="str">
        <f>IF(TRIM(G228)&lt;&gt;"",COUNTA(G$9:$G228)&amp;"","")</f>
        <v>169</v>
      </c>
      <c r="B228" s="123" t="s">
        <v>483</v>
      </c>
      <c r="C228" s="123" t="s">
        <v>483</v>
      </c>
      <c r="D228" s="50"/>
      <c r="E228" s="203" t="s">
        <v>496</v>
      </c>
      <c r="F228" s="106">
        <v>2</v>
      </c>
      <c r="G228" s="200" t="s">
        <v>250</v>
      </c>
      <c r="H228" s="33">
        <f t="shared" si="228"/>
        <v>0</v>
      </c>
      <c r="I228" s="82">
        <f t="shared" si="229"/>
        <v>2</v>
      </c>
      <c r="J228" s="34">
        <f>524.15/6*6*5.33</f>
        <v>2793.7194999999997</v>
      </c>
      <c r="K228" s="35">
        <f t="shared" si="231"/>
        <v>5587.4389999999994</v>
      </c>
      <c r="L228" s="36">
        <f t="shared" si="232"/>
        <v>73.03</v>
      </c>
      <c r="M228" s="37">
        <f>0.8/6*6*5.33</f>
        <v>4.2640000000000002</v>
      </c>
      <c r="N228" s="37">
        <f t="shared" si="234"/>
        <v>8.5280000000000005</v>
      </c>
      <c r="O228" s="35">
        <f t="shared" si="235"/>
        <v>622.79984000000002</v>
      </c>
      <c r="P228" s="38">
        <f t="shared" si="236"/>
        <v>6210.2388399999991</v>
      </c>
      <c r="Q228" s="39"/>
    </row>
    <row r="229" spans="1:17" ht="45" x14ac:dyDescent="0.25">
      <c r="A229" s="122" t="str">
        <f>IF(TRIM(G229)&lt;&gt;"",COUNTA(G$9:$G229)&amp;"","")</f>
        <v>170</v>
      </c>
      <c r="B229" s="123" t="s">
        <v>483</v>
      </c>
      <c r="C229" s="123" t="s">
        <v>483</v>
      </c>
      <c r="D229" s="50"/>
      <c r="E229" s="203" t="s">
        <v>497</v>
      </c>
      <c r="F229" s="106">
        <v>1</v>
      </c>
      <c r="G229" s="200" t="s">
        <v>250</v>
      </c>
      <c r="H229" s="33">
        <f t="shared" si="228"/>
        <v>0</v>
      </c>
      <c r="I229" s="82">
        <f t="shared" si="229"/>
        <v>1</v>
      </c>
      <c r="J229" s="34">
        <f>524.15/6*6*5.33</f>
        <v>2793.7194999999997</v>
      </c>
      <c r="K229" s="35">
        <f t="shared" si="231"/>
        <v>2793.7194999999997</v>
      </c>
      <c r="L229" s="36">
        <f t="shared" si="232"/>
        <v>73.03</v>
      </c>
      <c r="M229" s="37">
        <f>0.8/6*6*5.33</f>
        <v>4.2640000000000002</v>
      </c>
      <c r="N229" s="37">
        <f t="shared" si="234"/>
        <v>4.2640000000000002</v>
      </c>
      <c r="O229" s="35">
        <f t="shared" si="235"/>
        <v>311.39992000000001</v>
      </c>
      <c r="P229" s="38">
        <f t="shared" si="236"/>
        <v>3105.1194199999995</v>
      </c>
      <c r="Q229" s="39"/>
    </row>
    <row r="230" spans="1:17" ht="45" x14ac:dyDescent="0.25">
      <c r="A230" s="122" t="str">
        <f>IF(TRIM(G230)&lt;&gt;"",COUNTA(G$9:$G230)&amp;"","")</f>
        <v>171</v>
      </c>
      <c r="B230" s="123" t="s">
        <v>483</v>
      </c>
      <c r="C230" s="123" t="s">
        <v>483</v>
      </c>
      <c r="D230" s="50"/>
      <c r="E230" s="203" t="s">
        <v>495</v>
      </c>
      <c r="F230" s="106">
        <v>1</v>
      </c>
      <c r="G230" s="200" t="s">
        <v>250</v>
      </c>
      <c r="H230" s="33">
        <f t="shared" si="228"/>
        <v>0</v>
      </c>
      <c r="I230" s="82">
        <f t="shared" si="229"/>
        <v>1</v>
      </c>
      <c r="J230" s="34">
        <f>524.15/6*6*4</f>
        <v>2096.6</v>
      </c>
      <c r="K230" s="35">
        <f t="shared" si="231"/>
        <v>2096.6</v>
      </c>
      <c r="L230" s="36">
        <f t="shared" si="232"/>
        <v>73.03</v>
      </c>
      <c r="M230" s="37">
        <f>0.8/6*6*4</f>
        <v>3.2</v>
      </c>
      <c r="N230" s="37">
        <f t="shared" si="234"/>
        <v>3.2</v>
      </c>
      <c r="O230" s="35">
        <f t="shared" si="235"/>
        <v>233.69600000000003</v>
      </c>
      <c r="P230" s="38">
        <f t="shared" si="236"/>
        <v>2330.2959999999998</v>
      </c>
      <c r="Q230" s="39"/>
    </row>
    <row r="231" spans="1:17" ht="45" x14ac:dyDescent="0.25">
      <c r="A231" s="122" t="str">
        <f>IF(TRIM(G231)&lt;&gt;"",COUNTA(G$9:$G231)&amp;"","")</f>
        <v>172</v>
      </c>
      <c r="B231" s="123" t="s">
        <v>483</v>
      </c>
      <c r="C231" s="123" t="s">
        <v>483</v>
      </c>
      <c r="D231" s="50"/>
      <c r="E231" s="203" t="s">
        <v>498</v>
      </c>
      <c r="F231" s="106">
        <v>1</v>
      </c>
      <c r="G231" s="200" t="s">
        <v>250</v>
      </c>
      <c r="H231" s="33">
        <f t="shared" si="228"/>
        <v>0</v>
      </c>
      <c r="I231" s="82">
        <f t="shared" si="229"/>
        <v>1</v>
      </c>
      <c r="J231" s="34">
        <f>524.15/6*4.67*4.167</f>
        <v>1699.9835572499999</v>
      </c>
      <c r="K231" s="35">
        <f t="shared" si="231"/>
        <v>1699.9835572499999</v>
      </c>
      <c r="L231" s="36">
        <f t="shared" si="232"/>
        <v>73.03</v>
      </c>
      <c r="M231" s="37">
        <f>0.8/6*4.67*4.167</f>
        <v>2.594652</v>
      </c>
      <c r="N231" s="37">
        <f t="shared" si="234"/>
        <v>2.594652</v>
      </c>
      <c r="O231" s="35">
        <f t="shared" si="235"/>
        <v>189.48743555999999</v>
      </c>
      <c r="P231" s="38">
        <f t="shared" si="236"/>
        <v>1889.4709928099999</v>
      </c>
      <c r="Q231" s="39"/>
    </row>
    <row r="232" spans="1:17" ht="45" x14ac:dyDescent="0.25">
      <c r="A232" s="122" t="str">
        <f>IF(TRIM(G232)&lt;&gt;"",COUNTA(G$9:$G232)&amp;"","")</f>
        <v>173</v>
      </c>
      <c r="B232" s="123" t="s">
        <v>483</v>
      </c>
      <c r="C232" s="123" t="s">
        <v>483</v>
      </c>
      <c r="D232" s="50"/>
      <c r="E232" s="203" t="s">
        <v>499</v>
      </c>
      <c r="F232" s="106">
        <v>1</v>
      </c>
      <c r="G232" s="200" t="s">
        <v>250</v>
      </c>
      <c r="H232" s="33">
        <f t="shared" si="228"/>
        <v>0</v>
      </c>
      <c r="I232" s="82">
        <f t="shared" si="229"/>
        <v>1</v>
      </c>
      <c r="J232" s="34">
        <f>524.15/6*6*4.833</f>
        <v>2533.21695</v>
      </c>
      <c r="K232" s="35">
        <f t="shared" si="231"/>
        <v>2533.21695</v>
      </c>
      <c r="L232" s="36">
        <f t="shared" si="232"/>
        <v>73.03</v>
      </c>
      <c r="M232" s="37">
        <f>0.8/6*6*4.833</f>
        <v>3.8664000000000005</v>
      </c>
      <c r="N232" s="37">
        <f t="shared" si="234"/>
        <v>3.8664000000000005</v>
      </c>
      <c r="O232" s="35">
        <f t="shared" si="235"/>
        <v>282.36319200000003</v>
      </c>
      <c r="P232" s="38">
        <f t="shared" si="236"/>
        <v>2815.5801419999998</v>
      </c>
      <c r="Q232" s="39"/>
    </row>
    <row r="233" spans="1:17" ht="45" x14ac:dyDescent="0.25">
      <c r="A233" s="122" t="str">
        <f>IF(TRIM(G233)&lt;&gt;"",COUNTA(G$9:$G233)&amp;"","")</f>
        <v>174</v>
      </c>
      <c r="B233" s="123" t="s">
        <v>483</v>
      </c>
      <c r="C233" s="123" t="s">
        <v>483</v>
      </c>
      <c r="D233" s="50"/>
      <c r="E233" s="203" t="s">
        <v>500</v>
      </c>
      <c r="F233" s="106">
        <v>1</v>
      </c>
      <c r="G233" s="200" t="s">
        <v>250</v>
      </c>
      <c r="H233" s="33">
        <f t="shared" si="228"/>
        <v>0</v>
      </c>
      <c r="I233" s="82">
        <f t="shared" si="229"/>
        <v>1</v>
      </c>
      <c r="J233" s="34">
        <f>524.15/6*6*4.33</f>
        <v>2269.5695000000001</v>
      </c>
      <c r="K233" s="35">
        <f t="shared" si="231"/>
        <v>2269.5695000000001</v>
      </c>
      <c r="L233" s="36">
        <f t="shared" si="232"/>
        <v>73.03</v>
      </c>
      <c r="M233" s="37">
        <f>0.8/6*6*4.33</f>
        <v>3.4640000000000004</v>
      </c>
      <c r="N233" s="37">
        <f t="shared" si="234"/>
        <v>3.4640000000000004</v>
      </c>
      <c r="O233" s="35">
        <f t="shared" si="235"/>
        <v>252.97592000000003</v>
      </c>
      <c r="P233" s="38">
        <f t="shared" si="236"/>
        <v>2522.5454199999999</v>
      </c>
      <c r="Q233" s="39"/>
    </row>
    <row r="234" spans="1:17" ht="45" x14ac:dyDescent="0.25">
      <c r="A234" s="122" t="str">
        <f>IF(TRIM(G234)&lt;&gt;"",COUNTA(G$9:$G234)&amp;"","")</f>
        <v>175</v>
      </c>
      <c r="B234" s="123" t="s">
        <v>483</v>
      </c>
      <c r="C234" s="123" t="s">
        <v>483</v>
      </c>
      <c r="D234" s="50"/>
      <c r="E234" s="203" t="s">
        <v>501</v>
      </c>
      <c r="F234" s="106">
        <v>1</v>
      </c>
      <c r="G234" s="200" t="s">
        <v>250</v>
      </c>
      <c r="H234" s="33">
        <f t="shared" si="228"/>
        <v>0</v>
      </c>
      <c r="I234" s="82">
        <f t="shared" si="229"/>
        <v>1</v>
      </c>
      <c r="J234" s="34">
        <f>524.15/6*3*4.33</f>
        <v>1134.78475</v>
      </c>
      <c r="K234" s="35">
        <f t="shared" si="231"/>
        <v>1134.78475</v>
      </c>
      <c r="L234" s="36">
        <f t="shared" si="232"/>
        <v>73.03</v>
      </c>
      <c r="M234" s="37">
        <f>0.8/6*3*4.33</f>
        <v>1.7320000000000002</v>
      </c>
      <c r="N234" s="37">
        <f t="shared" si="234"/>
        <v>1.7320000000000002</v>
      </c>
      <c r="O234" s="35">
        <f t="shared" si="235"/>
        <v>126.48796000000002</v>
      </c>
      <c r="P234" s="38">
        <f t="shared" si="236"/>
        <v>1261.27271</v>
      </c>
      <c r="Q234" s="39"/>
    </row>
    <row r="235" spans="1:17" ht="45" x14ac:dyDescent="0.25">
      <c r="A235" s="122" t="str">
        <f>IF(TRIM(G235)&lt;&gt;"",COUNTA(G$9:$G235)&amp;"","")</f>
        <v>176</v>
      </c>
      <c r="B235" s="123" t="s">
        <v>483</v>
      </c>
      <c r="C235" s="123" t="s">
        <v>483</v>
      </c>
      <c r="D235" s="50"/>
      <c r="E235" s="203" t="s">
        <v>500</v>
      </c>
      <c r="F235" s="106">
        <v>3</v>
      </c>
      <c r="G235" s="200" t="s">
        <v>250</v>
      </c>
      <c r="H235" s="33">
        <f t="shared" si="228"/>
        <v>0</v>
      </c>
      <c r="I235" s="82">
        <f t="shared" si="229"/>
        <v>3</v>
      </c>
      <c r="J235" s="34">
        <f>524.15/6*6*4.33</f>
        <v>2269.5695000000001</v>
      </c>
      <c r="K235" s="35">
        <f t="shared" si="231"/>
        <v>6808.7085000000006</v>
      </c>
      <c r="L235" s="36">
        <f t="shared" si="232"/>
        <v>73.03</v>
      </c>
      <c r="M235" s="37">
        <f>0.8/6*6*4.33</f>
        <v>3.4640000000000004</v>
      </c>
      <c r="N235" s="37">
        <f t="shared" si="234"/>
        <v>10.392000000000001</v>
      </c>
      <c r="O235" s="35">
        <f t="shared" si="235"/>
        <v>758.92776000000015</v>
      </c>
      <c r="P235" s="38">
        <f t="shared" si="236"/>
        <v>7567.6362600000011</v>
      </c>
      <c r="Q235" s="39"/>
    </row>
    <row r="236" spans="1:17" ht="45" x14ac:dyDescent="0.25">
      <c r="A236" s="122" t="str">
        <f>IF(TRIM(G236)&lt;&gt;"",COUNTA(G$9:$G236)&amp;"","")</f>
        <v>177</v>
      </c>
      <c r="B236" s="123" t="s">
        <v>483</v>
      </c>
      <c r="C236" s="123" t="s">
        <v>483</v>
      </c>
      <c r="D236" s="50"/>
      <c r="E236" s="203" t="s">
        <v>502</v>
      </c>
      <c r="F236" s="106">
        <v>1</v>
      </c>
      <c r="G236" s="200" t="s">
        <v>250</v>
      </c>
      <c r="H236" s="33">
        <f t="shared" si="228"/>
        <v>0</v>
      </c>
      <c r="I236" s="82">
        <f t="shared" si="229"/>
        <v>1</v>
      </c>
      <c r="J236" s="34">
        <f>524.15/6*4*4</f>
        <v>1397.7333333333333</v>
      </c>
      <c r="K236" s="35">
        <f t="shared" si="231"/>
        <v>1397.7333333333333</v>
      </c>
      <c r="L236" s="36">
        <f t="shared" si="232"/>
        <v>73.03</v>
      </c>
      <c r="M236" s="37">
        <f>0.8/6*4*4</f>
        <v>2.1333333333333333</v>
      </c>
      <c r="N236" s="37">
        <f t="shared" si="234"/>
        <v>2.1333333333333333</v>
      </c>
      <c r="O236" s="35">
        <f t="shared" si="235"/>
        <v>155.79733333333334</v>
      </c>
      <c r="P236" s="38">
        <f t="shared" si="236"/>
        <v>1553.5306666666668</v>
      </c>
      <c r="Q236" s="39"/>
    </row>
    <row r="237" spans="1:17" ht="45" x14ac:dyDescent="0.25">
      <c r="A237" s="122" t="str">
        <f>IF(TRIM(G237)&lt;&gt;"",COUNTA(G$9:$G237)&amp;"","")</f>
        <v>178</v>
      </c>
      <c r="B237" s="123" t="s">
        <v>483</v>
      </c>
      <c r="C237" s="123" t="s">
        <v>483</v>
      </c>
      <c r="D237" s="50"/>
      <c r="E237" s="203" t="s">
        <v>503</v>
      </c>
      <c r="F237" s="106">
        <v>1</v>
      </c>
      <c r="G237" s="200" t="s">
        <v>250</v>
      </c>
      <c r="H237" s="33">
        <f t="shared" si="228"/>
        <v>0</v>
      </c>
      <c r="I237" s="82">
        <f t="shared" si="229"/>
        <v>1</v>
      </c>
      <c r="J237" s="34">
        <f>524.15/6*4*2.833</f>
        <v>989.9446333333334</v>
      </c>
      <c r="K237" s="35">
        <f t="shared" si="231"/>
        <v>989.9446333333334</v>
      </c>
      <c r="L237" s="36">
        <f t="shared" si="232"/>
        <v>73.03</v>
      </c>
      <c r="M237" s="37">
        <f>0.8/6*4*2.833</f>
        <v>1.5109333333333335</v>
      </c>
      <c r="N237" s="37">
        <f t="shared" si="234"/>
        <v>1.5109333333333335</v>
      </c>
      <c r="O237" s="35">
        <f t="shared" si="235"/>
        <v>110.34346133333334</v>
      </c>
      <c r="P237" s="38">
        <f t="shared" si="236"/>
        <v>1100.2880946666667</v>
      </c>
      <c r="Q237" s="39"/>
    </row>
    <row r="238" spans="1:17" ht="45" x14ac:dyDescent="0.25">
      <c r="A238" s="122" t="str">
        <f>IF(TRIM(G238)&lt;&gt;"",COUNTA(G$9:$G238)&amp;"","")</f>
        <v>179</v>
      </c>
      <c r="B238" s="123" t="s">
        <v>483</v>
      </c>
      <c r="C238" s="123" t="s">
        <v>483</v>
      </c>
      <c r="D238" s="50"/>
      <c r="E238" s="203" t="s">
        <v>490</v>
      </c>
      <c r="F238" s="106">
        <v>1</v>
      </c>
      <c r="G238" s="200" t="s">
        <v>250</v>
      </c>
      <c r="H238" s="33">
        <f t="shared" si="228"/>
        <v>0</v>
      </c>
      <c r="I238" s="82">
        <f t="shared" si="229"/>
        <v>1</v>
      </c>
      <c r="J238" s="34">
        <f>524.15/6*6*4</f>
        <v>2096.6</v>
      </c>
      <c r="K238" s="35">
        <f t="shared" si="231"/>
        <v>2096.6</v>
      </c>
      <c r="L238" s="36">
        <f t="shared" si="232"/>
        <v>73.03</v>
      </c>
      <c r="M238" s="37">
        <f>0.8/6*6*4</f>
        <v>3.2</v>
      </c>
      <c r="N238" s="37">
        <f t="shared" si="234"/>
        <v>3.2</v>
      </c>
      <c r="O238" s="35">
        <f t="shared" si="235"/>
        <v>233.69600000000003</v>
      </c>
      <c r="P238" s="38">
        <f t="shared" si="236"/>
        <v>2330.2959999999998</v>
      </c>
      <c r="Q238" s="39"/>
    </row>
    <row r="239" spans="1:17" ht="45" x14ac:dyDescent="0.25">
      <c r="A239" s="122" t="str">
        <f>IF(TRIM(G239)&lt;&gt;"",COUNTA(G$9:$G239)&amp;"","")</f>
        <v>180</v>
      </c>
      <c r="B239" s="123" t="s">
        <v>483</v>
      </c>
      <c r="C239" s="123" t="s">
        <v>483</v>
      </c>
      <c r="D239" s="50"/>
      <c r="E239" s="203" t="s">
        <v>504</v>
      </c>
      <c r="F239" s="106">
        <v>2</v>
      </c>
      <c r="G239" s="200" t="s">
        <v>250</v>
      </c>
      <c r="H239" s="33">
        <f t="shared" si="228"/>
        <v>0</v>
      </c>
      <c r="I239" s="82">
        <f t="shared" si="229"/>
        <v>2</v>
      </c>
      <c r="J239" s="34">
        <f>524.15/6*6*2.833</f>
        <v>1484.91695</v>
      </c>
      <c r="K239" s="35">
        <f t="shared" si="231"/>
        <v>2969.8339000000001</v>
      </c>
      <c r="L239" s="36">
        <f t="shared" si="232"/>
        <v>73.03</v>
      </c>
      <c r="M239" s="37">
        <f>0.8/6*6*2.833</f>
        <v>2.2664000000000004</v>
      </c>
      <c r="N239" s="37">
        <f t="shared" si="234"/>
        <v>4.5328000000000008</v>
      </c>
      <c r="O239" s="35">
        <f t="shared" si="235"/>
        <v>331.03038400000008</v>
      </c>
      <c r="P239" s="38">
        <f t="shared" si="236"/>
        <v>3300.8642840000002</v>
      </c>
      <c r="Q239" s="39"/>
    </row>
    <row r="240" spans="1:17" ht="45" x14ac:dyDescent="0.25">
      <c r="A240" s="122" t="str">
        <f>IF(TRIM(G240)&lt;&gt;"",COUNTA(G$9:$G240)&amp;"","")</f>
        <v>181</v>
      </c>
      <c r="B240" s="123" t="s">
        <v>483</v>
      </c>
      <c r="C240" s="123" t="s">
        <v>483</v>
      </c>
      <c r="D240" s="50"/>
      <c r="E240" s="203" t="s">
        <v>505</v>
      </c>
      <c r="F240" s="106">
        <v>4</v>
      </c>
      <c r="G240" s="200" t="s">
        <v>250</v>
      </c>
      <c r="H240" s="33">
        <f t="shared" si="228"/>
        <v>0</v>
      </c>
      <c r="I240" s="82">
        <f t="shared" si="229"/>
        <v>4</v>
      </c>
      <c r="J240" s="34">
        <f>524.15/6*3.25*2.83</f>
        <v>803.47827083333334</v>
      </c>
      <c r="K240" s="35">
        <f t="shared" si="231"/>
        <v>3213.9130833333334</v>
      </c>
      <c r="L240" s="36">
        <f t="shared" si="232"/>
        <v>73.03</v>
      </c>
      <c r="M240" s="37">
        <f>0.8/6*3.25*2.833</f>
        <v>1.2276333333333334</v>
      </c>
      <c r="N240" s="37">
        <f t="shared" si="234"/>
        <v>4.9105333333333334</v>
      </c>
      <c r="O240" s="35">
        <f t="shared" si="235"/>
        <v>358.61624933333337</v>
      </c>
      <c r="P240" s="38">
        <f t="shared" si="236"/>
        <v>3572.529332666667</v>
      </c>
      <c r="Q240" s="39"/>
    </row>
    <row r="241" spans="1:17" ht="45" x14ac:dyDescent="0.25">
      <c r="A241" s="122" t="str">
        <f>IF(TRIM(G241)&lt;&gt;"",COUNTA(G$9:$G241)&amp;"","")</f>
        <v>182</v>
      </c>
      <c r="B241" s="123" t="s">
        <v>483</v>
      </c>
      <c r="C241" s="123" t="s">
        <v>483</v>
      </c>
      <c r="D241" s="50"/>
      <c r="E241" s="203" t="s">
        <v>490</v>
      </c>
      <c r="F241" s="106">
        <v>2</v>
      </c>
      <c r="G241" s="200" t="s">
        <v>250</v>
      </c>
      <c r="H241" s="33">
        <f t="shared" si="228"/>
        <v>0</v>
      </c>
      <c r="I241" s="82">
        <f t="shared" si="229"/>
        <v>2</v>
      </c>
      <c r="J241" s="34">
        <f>524.15/6*6*4</f>
        <v>2096.6</v>
      </c>
      <c r="K241" s="35">
        <f t="shared" si="231"/>
        <v>4193.2</v>
      </c>
      <c r="L241" s="36">
        <f t="shared" si="232"/>
        <v>73.03</v>
      </c>
      <c r="M241" s="37">
        <f>0.8/6*6*4</f>
        <v>3.2</v>
      </c>
      <c r="N241" s="37">
        <f t="shared" si="234"/>
        <v>6.4</v>
      </c>
      <c r="O241" s="35">
        <f t="shared" si="235"/>
        <v>467.39200000000005</v>
      </c>
      <c r="P241" s="38">
        <f t="shared" si="236"/>
        <v>4660.5919999999996</v>
      </c>
      <c r="Q241" s="39"/>
    </row>
    <row r="242" spans="1:17" ht="45" x14ac:dyDescent="0.25">
      <c r="A242" s="122" t="str">
        <f>IF(TRIM(G242)&lt;&gt;"",COUNTA(G$9:$G242)&amp;"","")</f>
        <v>183</v>
      </c>
      <c r="B242" s="123" t="s">
        <v>483</v>
      </c>
      <c r="C242" s="123" t="s">
        <v>483</v>
      </c>
      <c r="D242" s="50"/>
      <c r="E242" s="203" t="s">
        <v>506</v>
      </c>
      <c r="F242" s="106">
        <v>1</v>
      </c>
      <c r="G242" s="200" t="s">
        <v>250</v>
      </c>
      <c r="H242" s="33">
        <f t="shared" si="228"/>
        <v>0</v>
      </c>
      <c r="I242" s="82">
        <f t="shared" si="229"/>
        <v>1</v>
      </c>
      <c r="J242" s="34">
        <f>524.15/6*6*2.833</f>
        <v>1484.91695</v>
      </c>
      <c r="K242" s="35">
        <f t="shared" si="231"/>
        <v>1484.91695</v>
      </c>
      <c r="L242" s="36">
        <f t="shared" si="232"/>
        <v>73.03</v>
      </c>
      <c r="M242" s="37">
        <f>0.8/6*6*2.833</f>
        <v>2.2664000000000004</v>
      </c>
      <c r="N242" s="37">
        <f t="shared" si="234"/>
        <v>2.2664000000000004</v>
      </c>
      <c r="O242" s="35">
        <f t="shared" si="235"/>
        <v>165.51519200000004</v>
      </c>
      <c r="P242" s="38">
        <f t="shared" si="236"/>
        <v>1650.4321420000001</v>
      </c>
      <c r="Q242" s="39"/>
    </row>
    <row r="243" spans="1:17" ht="45" x14ac:dyDescent="0.25">
      <c r="A243" s="122" t="str">
        <f>IF(TRIM(G243)&lt;&gt;"",COUNTA(G$9:$G243)&amp;"","")</f>
        <v>184</v>
      </c>
      <c r="B243" s="123" t="s">
        <v>483</v>
      </c>
      <c r="C243" s="123" t="s">
        <v>483</v>
      </c>
      <c r="D243" s="50"/>
      <c r="E243" s="203" t="s">
        <v>507</v>
      </c>
      <c r="F243" s="106">
        <v>1</v>
      </c>
      <c r="G243" s="200" t="s">
        <v>250</v>
      </c>
      <c r="H243" s="33">
        <f t="shared" si="228"/>
        <v>0</v>
      </c>
      <c r="I243" s="82">
        <f t="shared" si="229"/>
        <v>1</v>
      </c>
      <c r="J243" s="34">
        <f>524.15/6*6.167*7.583</f>
        <v>4085.2566363583333</v>
      </c>
      <c r="K243" s="35">
        <f t="shared" si="231"/>
        <v>4085.2566363583333</v>
      </c>
      <c r="L243" s="36">
        <f t="shared" si="232"/>
        <v>73.03</v>
      </c>
      <c r="M243" s="37">
        <f>0.8/6*6.167*7.416</f>
        <v>6.0979295999999996</v>
      </c>
      <c r="N243" s="37">
        <f t="shared" si="234"/>
        <v>6.0979295999999996</v>
      </c>
      <c r="O243" s="35">
        <f t="shared" si="235"/>
        <v>445.33179868799999</v>
      </c>
      <c r="P243" s="38">
        <f t="shared" si="236"/>
        <v>4530.588435046333</v>
      </c>
      <c r="Q243" s="39"/>
    </row>
    <row r="244" spans="1:17" ht="45" x14ac:dyDescent="0.25">
      <c r="A244" s="122" t="str">
        <f>IF(TRIM(G244)&lt;&gt;"",COUNTA(G$9:$G244)&amp;"","")</f>
        <v>185</v>
      </c>
      <c r="B244" s="123" t="s">
        <v>483</v>
      </c>
      <c r="C244" s="123" t="s">
        <v>483</v>
      </c>
      <c r="D244" s="50"/>
      <c r="E244" s="203" t="s">
        <v>508</v>
      </c>
      <c r="F244" s="106">
        <v>1</v>
      </c>
      <c r="G244" s="200" t="s">
        <v>250</v>
      </c>
      <c r="H244" s="33">
        <f t="shared" si="228"/>
        <v>0</v>
      </c>
      <c r="I244" s="82">
        <f t="shared" si="229"/>
        <v>1</v>
      </c>
      <c r="J244" s="34">
        <f>524.15/6*2.33*2</f>
        <v>407.08983333333333</v>
      </c>
      <c r="K244" s="35">
        <f t="shared" si="231"/>
        <v>407.08983333333333</v>
      </c>
      <c r="L244" s="36">
        <f t="shared" si="232"/>
        <v>73.03</v>
      </c>
      <c r="M244" s="37">
        <f>0.8/6*2.33*2</f>
        <v>0.62133333333333329</v>
      </c>
      <c r="N244" s="37">
        <f t="shared" si="234"/>
        <v>0.62133333333333329</v>
      </c>
      <c r="O244" s="35">
        <f t="shared" si="235"/>
        <v>45.375973333333334</v>
      </c>
      <c r="P244" s="38">
        <f t="shared" si="236"/>
        <v>452.46580666666665</v>
      </c>
      <c r="Q244" s="39"/>
    </row>
    <row r="245" spans="1:17" ht="45" x14ac:dyDescent="0.25">
      <c r="A245" s="122" t="str">
        <f>IF(TRIM(G245)&lt;&gt;"",COUNTA(G$9:$G245)&amp;"","")</f>
        <v>186</v>
      </c>
      <c r="B245" s="123" t="s">
        <v>483</v>
      </c>
      <c r="C245" s="123" t="s">
        <v>483</v>
      </c>
      <c r="D245" s="50"/>
      <c r="E245" s="203" t="s">
        <v>509</v>
      </c>
      <c r="F245" s="106">
        <v>2</v>
      </c>
      <c r="G245" s="200" t="s">
        <v>250</v>
      </c>
      <c r="H245" s="33">
        <f t="shared" si="228"/>
        <v>0</v>
      </c>
      <c r="I245" s="82">
        <f t="shared" si="229"/>
        <v>2</v>
      </c>
      <c r="J245" s="34">
        <f>524.15/6*2.67*2</f>
        <v>466.49349999999998</v>
      </c>
      <c r="K245" s="35">
        <f t="shared" si="231"/>
        <v>932.98699999999997</v>
      </c>
      <c r="L245" s="36">
        <f t="shared" si="232"/>
        <v>73.03</v>
      </c>
      <c r="M245" s="37">
        <f>0.8/6*2.67*2</f>
        <v>0.71199999999999997</v>
      </c>
      <c r="N245" s="37">
        <f t="shared" si="234"/>
        <v>1.4239999999999999</v>
      </c>
      <c r="O245" s="35">
        <f t="shared" si="235"/>
        <v>103.99472</v>
      </c>
      <c r="P245" s="38">
        <f t="shared" si="236"/>
        <v>1036.98172</v>
      </c>
      <c r="Q245" s="39"/>
    </row>
    <row r="246" spans="1:17" ht="45" x14ac:dyDescent="0.25">
      <c r="A246" s="122" t="str">
        <f>IF(TRIM(G246)&lt;&gt;"",COUNTA(G$9:$G246)&amp;"","")</f>
        <v>187</v>
      </c>
      <c r="B246" s="123" t="s">
        <v>483</v>
      </c>
      <c r="C246" s="123" t="s">
        <v>483</v>
      </c>
      <c r="D246" s="50"/>
      <c r="E246" s="203" t="s">
        <v>510</v>
      </c>
      <c r="F246" s="106">
        <v>1</v>
      </c>
      <c r="G246" s="200" t="s">
        <v>250</v>
      </c>
      <c r="H246" s="33">
        <f t="shared" si="228"/>
        <v>0</v>
      </c>
      <c r="I246" s="82">
        <f t="shared" si="229"/>
        <v>1</v>
      </c>
      <c r="J246" s="34">
        <f>524.15/6*3*4</f>
        <v>1048.3</v>
      </c>
      <c r="K246" s="35">
        <f t="shared" si="231"/>
        <v>1048.3</v>
      </c>
      <c r="L246" s="36">
        <f t="shared" si="232"/>
        <v>73.03</v>
      </c>
      <c r="M246" s="37">
        <f>0.8/6*3*4</f>
        <v>1.6</v>
      </c>
      <c r="N246" s="37">
        <f t="shared" si="234"/>
        <v>1.6</v>
      </c>
      <c r="O246" s="35">
        <f t="shared" si="235"/>
        <v>116.84800000000001</v>
      </c>
      <c r="P246" s="38">
        <f t="shared" si="236"/>
        <v>1165.1479999999999</v>
      </c>
      <c r="Q246" s="39"/>
    </row>
    <row r="247" spans="1:17" ht="45" x14ac:dyDescent="0.25">
      <c r="A247" s="122" t="str">
        <f>IF(TRIM(G247)&lt;&gt;"",COUNTA(G$9:$G247)&amp;"","")</f>
        <v>188</v>
      </c>
      <c r="B247" s="123" t="s">
        <v>483</v>
      </c>
      <c r="C247" s="123" t="s">
        <v>483</v>
      </c>
      <c r="D247" s="50"/>
      <c r="E247" s="203" t="s">
        <v>511</v>
      </c>
      <c r="F247" s="106">
        <v>1</v>
      </c>
      <c r="G247" s="200" t="s">
        <v>250</v>
      </c>
      <c r="H247" s="33">
        <f t="shared" si="228"/>
        <v>0</v>
      </c>
      <c r="I247" s="82">
        <f t="shared" si="229"/>
        <v>1</v>
      </c>
      <c r="J247" s="34">
        <f>524.15/6*2.67*2</f>
        <v>466.49349999999998</v>
      </c>
      <c r="K247" s="35">
        <f t="shared" si="231"/>
        <v>466.49349999999998</v>
      </c>
      <c r="L247" s="36">
        <f t="shared" si="232"/>
        <v>73.03</v>
      </c>
      <c r="M247" s="37">
        <f>0.8/6*2.67*2</f>
        <v>0.71199999999999997</v>
      </c>
      <c r="N247" s="37">
        <f t="shared" si="234"/>
        <v>0.71199999999999997</v>
      </c>
      <c r="O247" s="35">
        <f t="shared" si="235"/>
        <v>51.99736</v>
      </c>
      <c r="P247" s="38">
        <f t="shared" si="236"/>
        <v>518.49086</v>
      </c>
      <c r="Q247" s="39"/>
    </row>
    <row r="248" spans="1:17" s="28" customFormat="1" ht="19.149999999999999" customHeight="1" x14ac:dyDescent="0.25">
      <c r="A248" s="122" t="str">
        <f>IF(TRIM(G248)&lt;&gt;"",COUNTA(G$9:$G248)&amp;"","")</f>
        <v/>
      </c>
      <c r="B248" s="49"/>
      <c r="C248" s="49"/>
      <c r="D248" s="50" t="s">
        <v>107</v>
      </c>
      <c r="E248" s="201" t="s">
        <v>106</v>
      </c>
      <c r="F248" s="124"/>
      <c r="G248" s="200"/>
      <c r="H248" s="33" t="str">
        <f t="shared" si="228"/>
        <v/>
      </c>
      <c r="I248" s="82" t="str">
        <f t="shared" si="229"/>
        <v/>
      </c>
      <c r="J248" s="34" t="str">
        <f t="shared" si="230"/>
        <v/>
      </c>
      <c r="K248" s="35" t="str">
        <f t="shared" si="231"/>
        <v/>
      </c>
      <c r="L248" s="36" t="str">
        <f t="shared" si="232"/>
        <v/>
      </c>
      <c r="M248" s="37" t="str">
        <f t="shared" si="233"/>
        <v/>
      </c>
      <c r="N248" s="37" t="str">
        <f t="shared" si="234"/>
        <v/>
      </c>
      <c r="O248" s="35" t="str">
        <f t="shared" si="235"/>
        <v/>
      </c>
      <c r="P248" s="38" t="str">
        <f t="shared" si="236"/>
        <v/>
      </c>
      <c r="Q248" s="39"/>
    </row>
    <row r="249" spans="1:17" x14ac:dyDescent="0.25">
      <c r="A249" s="122" t="str">
        <f>IF(TRIM(G249)&lt;&gt;"",COUNTA(G$9:$G249)&amp;"","")</f>
        <v>189</v>
      </c>
      <c r="B249" s="123" t="s">
        <v>483</v>
      </c>
      <c r="C249" s="123" t="s">
        <v>483</v>
      </c>
      <c r="D249" s="50"/>
      <c r="E249" s="199" t="s">
        <v>512</v>
      </c>
      <c r="F249" s="124">
        <v>21</v>
      </c>
      <c r="G249" s="200" t="s">
        <v>250</v>
      </c>
      <c r="H249" s="33">
        <f t="shared" si="228"/>
        <v>0</v>
      </c>
      <c r="I249" s="82">
        <f t="shared" si="229"/>
        <v>21</v>
      </c>
      <c r="J249" s="34">
        <v>834.96</v>
      </c>
      <c r="K249" s="35">
        <f t="shared" si="231"/>
        <v>17534.16</v>
      </c>
      <c r="L249" s="36">
        <f t="shared" si="232"/>
        <v>73.03</v>
      </c>
      <c r="M249" s="37">
        <v>2</v>
      </c>
      <c r="N249" s="37">
        <f t="shared" si="234"/>
        <v>42</v>
      </c>
      <c r="O249" s="35">
        <f t="shared" si="235"/>
        <v>3067.26</v>
      </c>
      <c r="P249" s="38">
        <f t="shared" si="236"/>
        <v>20601.419999999998</v>
      </c>
      <c r="Q249" s="39"/>
    </row>
    <row r="250" spans="1:17" x14ac:dyDescent="0.25">
      <c r="A250" s="122" t="str">
        <f>IF(TRIM(G250)&lt;&gt;"",COUNTA(G$9:$G250)&amp;"","")</f>
        <v>190</v>
      </c>
      <c r="B250" s="123" t="s">
        <v>256</v>
      </c>
      <c r="C250" s="123" t="s">
        <v>256</v>
      </c>
      <c r="D250" s="50"/>
      <c r="E250" s="89" t="s">
        <v>580</v>
      </c>
      <c r="F250" s="124">
        <f>45+14</f>
        <v>59</v>
      </c>
      <c r="G250" s="125" t="s">
        <v>228</v>
      </c>
      <c r="H250" s="33">
        <v>0.1</v>
      </c>
      <c r="I250" s="82">
        <f t="shared" ref="I250" si="237">IF(F250=0,"",F250+(F250*H250))</f>
        <v>64.900000000000006</v>
      </c>
      <c r="J250" s="34">
        <v>2.5499999999999998</v>
      </c>
      <c r="K250" s="35">
        <f t="shared" ref="K250" si="238">IF(F250=0,"",J250*I250)</f>
        <v>165.495</v>
      </c>
      <c r="L250" s="36">
        <f t="shared" ref="L250" si="239">IF(F250=0,"",L$14)</f>
        <v>73.03</v>
      </c>
      <c r="M250" s="37">
        <v>0.02</v>
      </c>
      <c r="N250" s="37">
        <f t="shared" ref="N250" si="240">IF(F250=0,"",M250*I250)</f>
        <v>1.298</v>
      </c>
      <c r="O250" s="35">
        <f t="shared" ref="O250" si="241">IF(F250=0,"",N250*L250)</f>
        <v>94.792940000000002</v>
      </c>
      <c r="P250" s="38">
        <f t="shared" ref="P250" si="242">IF(F250=0,"",K250+O250)</f>
        <v>260.28793999999999</v>
      </c>
      <c r="Q250" s="39"/>
    </row>
    <row r="251" spans="1:17" x14ac:dyDescent="0.25">
      <c r="A251" s="122" t="str">
        <f>IF(TRIM(G251)&lt;&gt;"",COUNTA(G$9:$G251)&amp;"","")</f>
        <v>191</v>
      </c>
      <c r="B251" s="123" t="s">
        <v>256</v>
      </c>
      <c r="C251" s="123" t="s">
        <v>256</v>
      </c>
      <c r="D251" s="50"/>
      <c r="E251" s="89" t="s">
        <v>569</v>
      </c>
      <c r="F251" s="124">
        <v>588</v>
      </c>
      <c r="G251" s="125" t="s">
        <v>228</v>
      </c>
      <c r="H251" s="33">
        <v>0.1</v>
      </c>
      <c r="I251" s="82">
        <f t="shared" si="229"/>
        <v>646.79999999999995</v>
      </c>
      <c r="J251" s="34">
        <v>2.5499999999999998</v>
      </c>
      <c r="K251" s="35">
        <f t="shared" si="231"/>
        <v>1649.3399999999997</v>
      </c>
      <c r="L251" s="36">
        <f t="shared" si="232"/>
        <v>73.03</v>
      </c>
      <c r="M251" s="37">
        <v>0.02</v>
      </c>
      <c r="N251" s="37">
        <f t="shared" si="234"/>
        <v>12.936</v>
      </c>
      <c r="O251" s="35">
        <f t="shared" si="235"/>
        <v>944.71608000000003</v>
      </c>
      <c r="P251" s="38">
        <f t="shared" si="236"/>
        <v>2594.0560799999998</v>
      </c>
      <c r="Q251" s="39"/>
    </row>
    <row r="252" spans="1:17" x14ac:dyDescent="0.25">
      <c r="A252" s="122" t="str">
        <f>IF(TRIM(G252)&lt;&gt;"",COUNTA(G$9:$G252)&amp;"","")</f>
        <v>192</v>
      </c>
      <c r="B252" s="123" t="s">
        <v>256</v>
      </c>
      <c r="C252" s="123" t="s">
        <v>256</v>
      </c>
      <c r="D252" s="50"/>
      <c r="E252" s="89" t="s">
        <v>581</v>
      </c>
      <c r="F252" s="124">
        <v>213</v>
      </c>
      <c r="G252" s="125" t="s">
        <v>228</v>
      </c>
      <c r="H252" s="33">
        <v>0.1</v>
      </c>
      <c r="I252" s="82">
        <f t="shared" si="229"/>
        <v>234.3</v>
      </c>
      <c r="J252" s="34">
        <v>11.1</v>
      </c>
      <c r="K252" s="35">
        <f t="shared" si="231"/>
        <v>2600.73</v>
      </c>
      <c r="L252" s="36">
        <f t="shared" si="232"/>
        <v>73.03</v>
      </c>
      <c r="M252" s="37">
        <v>0.17799999999999999</v>
      </c>
      <c r="N252" s="37">
        <f t="shared" si="234"/>
        <v>41.705399999999997</v>
      </c>
      <c r="O252" s="35">
        <f t="shared" si="235"/>
        <v>3045.7453619999997</v>
      </c>
      <c r="P252" s="38">
        <f t="shared" si="236"/>
        <v>5646.4753619999992</v>
      </c>
      <c r="Q252" s="39"/>
    </row>
    <row r="253" spans="1:17" x14ac:dyDescent="0.25">
      <c r="A253" s="122" t="str">
        <f>IF(TRIM(G253)&lt;&gt;"",COUNTA(G$9:$G253)&amp;"","")</f>
        <v>193</v>
      </c>
      <c r="B253" s="123" t="s">
        <v>256</v>
      </c>
      <c r="C253" s="123" t="s">
        <v>256</v>
      </c>
      <c r="D253" s="50"/>
      <c r="E253" s="89" t="s">
        <v>582</v>
      </c>
      <c r="F253" s="124">
        <f>F252+(40+0.33)</f>
        <v>253.32999999999998</v>
      </c>
      <c r="G253" s="125" t="s">
        <v>228</v>
      </c>
      <c r="H253" s="33">
        <v>0.1</v>
      </c>
      <c r="I253" s="82">
        <f t="shared" ref="I253" si="243">IF(F253=0,"",F253+(F253*H253))</f>
        <v>278.66300000000001</v>
      </c>
      <c r="J253" s="34">
        <v>2.5499999999999998</v>
      </c>
      <c r="K253" s="35">
        <f t="shared" ref="K253" si="244">IF(F253=0,"",J253*I253)</f>
        <v>710.59064999999998</v>
      </c>
      <c r="L253" s="36">
        <f t="shared" ref="L253" si="245">IF(F253=0,"",L$14)</f>
        <v>73.03</v>
      </c>
      <c r="M253" s="37">
        <v>0.02</v>
      </c>
      <c r="N253" s="37">
        <f t="shared" ref="N253" si="246">IF(F253=0,"",M253*I253)</f>
        <v>5.5732600000000003</v>
      </c>
      <c r="O253" s="35">
        <f t="shared" ref="O253" si="247">IF(F253=0,"",N253*L253)</f>
        <v>407.0151778</v>
      </c>
      <c r="P253" s="38">
        <f t="shared" ref="P253" si="248">IF(F253=0,"",K253+O253)</f>
        <v>1117.6058278</v>
      </c>
      <c r="Q253" s="39"/>
    </row>
    <row r="254" spans="1:17" x14ac:dyDescent="0.25">
      <c r="A254" s="122" t="str">
        <f>IF(TRIM(G254)&lt;&gt;"",COUNTA(G$9:$G254)&amp;"","")</f>
        <v>194</v>
      </c>
      <c r="B254" s="123" t="s">
        <v>256</v>
      </c>
      <c r="C254" s="123" t="s">
        <v>256</v>
      </c>
      <c r="D254" s="50"/>
      <c r="E254" s="89" t="s">
        <v>704</v>
      </c>
      <c r="F254" s="124">
        <f>672*2</f>
        <v>1344</v>
      </c>
      <c r="G254" s="125" t="s">
        <v>228</v>
      </c>
      <c r="H254" s="33">
        <v>0.1</v>
      </c>
      <c r="I254" s="82">
        <f t="shared" si="229"/>
        <v>1478.4</v>
      </c>
      <c r="J254" s="34">
        <v>2.5499999999999998</v>
      </c>
      <c r="K254" s="35">
        <f t="shared" si="231"/>
        <v>3769.92</v>
      </c>
      <c r="L254" s="36">
        <f t="shared" si="232"/>
        <v>73.03</v>
      </c>
      <c r="M254" s="37">
        <v>0.02</v>
      </c>
      <c r="N254" s="37">
        <f t="shared" si="234"/>
        <v>29.568000000000001</v>
      </c>
      <c r="O254" s="35">
        <f t="shared" si="235"/>
        <v>2159.35104</v>
      </c>
      <c r="P254" s="38">
        <f t="shared" si="236"/>
        <v>5929.2710399999996</v>
      </c>
      <c r="Q254" s="39"/>
    </row>
    <row r="255" spans="1:17" ht="45" x14ac:dyDescent="0.25">
      <c r="A255" s="122" t="str">
        <f>IF(TRIM(G255)&lt;&gt;"",COUNTA(G$9:$G255)&amp;"","")</f>
        <v/>
      </c>
      <c r="B255" s="123"/>
      <c r="C255" s="123"/>
      <c r="D255" s="50"/>
      <c r="E255" s="207" t="s">
        <v>705</v>
      </c>
      <c r="F255" s="124"/>
      <c r="G255" s="200"/>
      <c r="H255" s="33" t="str">
        <f>IF(F255=0,"",0)</f>
        <v/>
      </c>
      <c r="I255" s="82" t="str">
        <f>IF(F255=0,"",F255+(F255*H255))</f>
        <v/>
      </c>
      <c r="J255" s="34" t="str">
        <f>IF(F255=0,"",0)</f>
        <v/>
      </c>
      <c r="K255" s="35" t="str">
        <f>IF(F255=0,"",J255*I255)</f>
        <v/>
      </c>
      <c r="L255" s="36" t="str">
        <f>IF(F255=0,"",L$14)</f>
        <v/>
      </c>
      <c r="M255" s="37" t="str">
        <f>IF(F255=0,"",0)</f>
        <v/>
      </c>
      <c r="N255" s="37" t="str">
        <f>IF(F255=0,"",M255*I255)</f>
        <v/>
      </c>
      <c r="O255" s="35" t="str">
        <f>IF(F255=0,"",N255*L255)</f>
        <v/>
      </c>
      <c r="P255" s="38" t="str">
        <f>IF(F255=0,"",K255+O255)</f>
        <v/>
      </c>
      <c r="Q255" s="39"/>
    </row>
    <row r="256" spans="1:17" ht="15.75" thickBot="1" x14ac:dyDescent="0.3">
      <c r="A256" s="122" t="str">
        <f>IF(TRIM(G256)&lt;&gt;"",COUNTA(G$9:$G256)&amp;"","")</f>
        <v/>
      </c>
      <c r="B256" s="126"/>
      <c r="C256" s="126"/>
      <c r="D256" s="50"/>
      <c r="E256" s="127"/>
      <c r="F256" s="124"/>
      <c r="G256" s="125"/>
      <c r="H256" s="33" t="str">
        <f t="shared" ref="H256" si="249">IF(F256=0,"",0)</f>
        <v/>
      </c>
      <c r="I256" s="82" t="str">
        <f t="shared" ref="I256" si="250">IF(F256=0,"",F256+(F256*H256))</f>
        <v/>
      </c>
      <c r="J256" s="34" t="str">
        <f t="shared" ref="J256" si="251">IF(F256=0,"",0)</f>
        <v/>
      </c>
      <c r="K256" s="35" t="str">
        <f t="shared" ref="K256" si="252">IF(F256=0,"",J256*I256)</f>
        <v/>
      </c>
      <c r="L256" s="36" t="str">
        <f t="shared" ref="L256" si="253">IF(F256=0,"",L$14)</f>
        <v/>
      </c>
      <c r="M256" s="37" t="str">
        <f t="shared" ref="M256" si="254">IF(F256=0,"",0)</f>
        <v/>
      </c>
      <c r="N256" s="37" t="str">
        <f t="shared" ref="N256" si="255">IF(F256=0,"",M256*I256)</f>
        <v/>
      </c>
      <c r="O256" s="35" t="str">
        <f t="shared" ref="O256" si="256">IF(F256=0,"",N256*L256)</f>
        <v/>
      </c>
      <c r="P256" s="38" t="str">
        <f t="shared" ref="P256" si="257">IF(F256=0,"",K256+O256)</f>
        <v/>
      </c>
      <c r="Q256" s="39"/>
    </row>
    <row r="257" spans="1:17" s="3" customFormat="1" ht="16.5" thickBot="1" x14ac:dyDescent="0.3">
      <c r="A257" s="122" t="str">
        <f>IF(TRIM(G257)&lt;&gt;"",COUNTA(G$9:$G257)&amp;"","")</f>
        <v/>
      </c>
      <c r="B257" s="1"/>
      <c r="C257" s="1"/>
      <c r="D257" s="30"/>
      <c r="E257" s="29"/>
      <c r="F257" s="80"/>
      <c r="G257" s="81"/>
      <c r="H257" s="151" t="s">
        <v>12</v>
      </c>
      <c r="I257" s="152"/>
      <c r="J257" s="68">
        <f>SUM(K$212:K$256)</f>
        <v>111087.3887799974</v>
      </c>
      <c r="K257" s="390" t="s">
        <v>13</v>
      </c>
      <c r="L257" s="391"/>
      <c r="M257" s="69">
        <f>SUM(O$212:O$256)</f>
        <v>20879.28560223848</v>
      </c>
      <c r="N257" s="390" t="s">
        <v>43</v>
      </c>
      <c r="O257" s="391"/>
      <c r="P257" s="70">
        <f>SUM(N$212:N$256)</f>
        <v>285.90011779047614</v>
      </c>
      <c r="Q257" s="71">
        <f>SUM(P$212:P$256)</f>
        <v>131966.67438223591</v>
      </c>
    </row>
    <row r="258" spans="1:17" ht="20.100000000000001" customHeight="1" x14ac:dyDescent="0.25">
      <c r="A258" s="153" t="str">
        <f>IF(TRIM(G258)&lt;&gt;"",COUNTA(G$9:$G258)&amp;"","")</f>
        <v/>
      </c>
      <c r="B258" s="31"/>
      <c r="C258" s="162" t="s">
        <v>192</v>
      </c>
      <c r="D258" s="154" t="s">
        <v>45</v>
      </c>
      <c r="E258" s="154" t="s">
        <v>48</v>
      </c>
      <c r="F258" s="78"/>
      <c r="G258" s="79"/>
      <c r="H258" s="31"/>
      <c r="I258" s="79"/>
      <c r="J258" s="31"/>
      <c r="K258" s="31"/>
      <c r="L258" s="31"/>
      <c r="M258" s="31"/>
      <c r="N258" s="31"/>
      <c r="O258" s="31"/>
      <c r="P258" s="31"/>
      <c r="Q258" s="155"/>
    </row>
    <row r="259" spans="1:17" s="28" customFormat="1" ht="19.149999999999999" customHeight="1" x14ac:dyDescent="0.25">
      <c r="A259" s="122" t="str">
        <f>IF(TRIM(G259)&lt;&gt;"",COUNTA(G$9:$G259)&amp;"","")</f>
        <v/>
      </c>
      <c r="B259" s="49"/>
      <c r="C259" s="49"/>
      <c r="D259" s="50" t="s">
        <v>109</v>
      </c>
      <c r="E259" s="156" t="s">
        <v>108</v>
      </c>
      <c r="F259" s="124"/>
      <c r="G259" s="125"/>
      <c r="H259" s="33" t="str">
        <f t="shared" ref="H259:H485" si="258">IF(F259=0,"",0)</f>
        <v/>
      </c>
      <c r="I259" s="82" t="str">
        <f t="shared" ref="I259:I489" si="259">IF(F259=0,"",F259+(F259*H259))</f>
        <v/>
      </c>
      <c r="J259" s="34" t="str">
        <f t="shared" ref="J259:J487" si="260">IF(F259=0,"",0)</f>
        <v/>
      </c>
      <c r="K259" s="35" t="str">
        <f t="shared" ref="K259:K489" si="261">IF(F259=0,"",J259*I259)</f>
        <v/>
      </c>
      <c r="L259" s="36" t="str">
        <f t="shared" ref="L259:L489" si="262">IF(F259=0,"",L$14)</f>
        <v/>
      </c>
      <c r="M259" s="37" t="str">
        <f t="shared" ref="M259:M487" si="263">IF(F259=0,"",0)</f>
        <v/>
      </c>
      <c r="N259" s="37" t="str">
        <f t="shared" ref="N259:N489" si="264">IF(F259=0,"",M259*I259)</f>
        <v/>
      </c>
      <c r="O259" s="35" t="str">
        <f t="shared" ref="O259:O489" si="265">IF(F259=0,"",N259*L259)</f>
        <v/>
      </c>
      <c r="P259" s="38" t="str">
        <f t="shared" ref="P259:P489" si="266">IF(F259=0,"",K259+O259)</f>
        <v/>
      </c>
      <c r="Q259" s="39"/>
    </row>
    <row r="260" spans="1:17" x14ac:dyDescent="0.25">
      <c r="A260" s="122" t="str">
        <f>IF(TRIM(G260)&lt;&gt;"",COUNTA(G$9:$G260)&amp;"","")</f>
        <v/>
      </c>
      <c r="B260" s="123"/>
      <c r="C260" s="123"/>
      <c r="D260" s="50"/>
      <c r="E260" s="210" t="s">
        <v>365</v>
      </c>
      <c r="F260" s="193"/>
      <c r="G260" s="193"/>
      <c r="H260" s="33"/>
      <c r="I260" s="82"/>
      <c r="J260" s="34"/>
      <c r="K260" s="35"/>
      <c r="L260" s="36"/>
      <c r="M260" s="37"/>
      <c r="N260" s="37"/>
      <c r="O260" s="35"/>
      <c r="P260" s="38" t="str">
        <f t="shared" si="266"/>
        <v/>
      </c>
      <c r="Q260" s="39"/>
    </row>
    <row r="261" spans="1:17" x14ac:dyDescent="0.25">
      <c r="A261" s="122" t="str">
        <f>IF(TRIM(G261)&lt;&gt;"",COUNTA(G$9:$G261)&amp;"","")</f>
        <v>195</v>
      </c>
      <c r="B261" s="123" t="s">
        <v>609</v>
      </c>
      <c r="C261" s="123" t="s">
        <v>609</v>
      </c>
      <c r="D261" s="50"/>
      <c r="E261" s="211" t="s">
        <v>610</v>
      </c>
      <c r="F261" s="193">
        <v>64.12</v>
      </c>
      <c r="G261" s="193" t="s">
        <v>228</v>
      </c>
      <c r="H261" s="33"/>
      <c r="I261" s="82"/>
      <c r="J261" s="34"/>
      <c r="K261" s="35"/>
      <c r="L261" s="36"/>
      <c r="M261" s="37"/>
      <c r="N261" s="37"/>
      <c r="O261" s="35"/>
      <c r="P261" s="38">
        <f t="shared" si="266"/>
        <v>0</v>
      </c>
      <c r="Q261" s="39"/>
    </row>
    <row r="262" spans="1:17" ht="30" x14ac:dyDescent="0.25">
      <c r="A262" s="122" t="str">
        <f>IF(TRIM(G262)&lt;&gt;"",COUNTA(G$9:$G262)&amp;"","")</f>
        <v>196</v>
      </c>
      <c r="B262" s="123" t="s">
        <v>609</v>
      </c>
      <c r="C262" s="123" t="s">
        <v>609</v>
      </c>
      <c r="D262" s="50"/>
      <c r="E262" s="111" t="s">
        <v>611</v>
      </c>
      <c r="F262" s="124">
        <f>F261</f>
        <v>64.12</v>
      </c>
      <c r="G262" s="125" t="s">
        <v>228</v>
      </c>
      <c r="H262" s="33">
        <v>0.1</v>
      </c>
      <c r="I262" s="82">
        <f t="shared" ref="I262:I267" si="267">IF(F262=0,"",F262+(F262*H262))</f>
        <v>70.532000000000011</v>
      </c>
      <c r="J262" s="34">
        <f>9.61/10*14</f>
        <v>13.453999999999999</v>
      </c>
      <c r="K262" s="35">
        <f t="shared" ref="K262:K267" si="268">IF(F262=0,"",J262*I262)</f>
        <v>948.93752800000004</v>
      </c>
      <c r="L262" s="36">
        <f t="shared" ref="L262:L267" si="269">IF(F262=0,"",L$14)</f>
        <v>73.03</v>
      </c>
      <c r="M262" s="37">
        <f>0.16/10*14</f>
        <v>0.224</v>
      </c>
      <c r="N262" s="37">
        <f t="shared" ref="N262:N267" si="270">IF(F262=0,"",M262*I262)</f>
        <v>15.799168000000003</v>
      </c>
      <c r="O262" s="35">
        <f t="shared" ref="O262:O267" si="271">IF(F262=0,"",N262*L262)</f>
        <v>1153.8132390400003</v>
      </c>
      <c r="P262" s="38">
        <f t="shared" si="266"/>
        <v>2102.7507670400005</v>
      </c>
      <c r="Q262" s="39"/>
    </row>
    <row r="263" spans="1:17" x14ac:dyDescent="0.25">
      <c r="A263" s="122" t="str">
        <f>IF(TRIM(G263)&lt;&gt;"",COUNTA(G$9:$G263)&amp;"","")</f>
        <v>197</v>
      </c>
      <c r="B263" s="123" t="s">
        <v>609</v>
      </c>
      <c r="C263" s="123" t="s">
        <v>609</v>
      </c>
      <c r="D263" s="50"/>
      <c r="E263" s="111" t="s">
        <v>612</v>
      </c>
      <c r="F263" s="124">
        <f>F261</f>
        <v>64.12</v>
      </c>
      <c r="G263" s="125" t="s">
        <v>228</v>
      </c>
      <c r="H263" s="33">
        <v>0.1</v>
      </c>
      <c r="I263" s="82">
        <f t="shared" si="267"/>
        <v>70.532000000000011</v>
      </c>
      <c r="J263" s="34">
        <v>1.51</v>
      </c>
      <c r="K263" s="35">
        <f t="shared" si="268"/>
        <v>106.50332000000002</v>
      </c>
      <c r="L263" s="36">
        <f t="shared" si="269"/>
        <v>73.03</v>
      </c>
      <c r="M263" s="37">
        <v>3.5999999999999997E-2</v>
      </c>
      <c r="N263" s="37">
        <f t="shared" si="270"/>
        <v>2.5391520000000001</v>
      </c>
      <c r="O263" s="35">
        <f t="shared" si="271"/>
        <v>185.43427056000002</v>
      </c>
      <c r="P263" s="38">
        <f t="shared" si="266"/>
        <v>291.93759056000005</v>
      </c>
      <c r="Q263" s="39"/>
    </row>
    <row r="264" spans="1:17" x14ac:dyDescent="0.25">
      <c r="A264" s="122" t="str">
        <f>IF(TRIM(G264)&lt;&gt;"",COUNTA(G$9:$G264)&amp;"","")</f>
        <v>198</v>
      </c>
      <c r="B264" s="123" t="s">
        <v>609</v>
      </c>
      <c r="C264" s="123" t="s">
        <v>609</v>
      </c>
      <c r="D264" s="50"/>
      <c r="E264" s="111" t="s">
        <v>613</v>
      </c>
      <c r="F264" s="124">
        <f>F261*13.75</f>
        <v>881.65000000000009</v>
      </c>
      <c r="G264" s="125" t="s">
        <v>214</v>
      </c>
      <c r="H264" s="33">
        <v>0.1</v>
      </c>
      <c r="I264" s="82">
        <f t="shared" si="267"/>
        <v>969.81500000000005</v>
      </c>
      <c r="J264" s="34">
        <v>0.54</v>
      </c>
      <c r="K264" s="35">
        <f t="shared" si="268"/>
        <v>523.70010000000002</v>
      </c>
      <c r="L264" s="36">
        <f t="shared" si="269"/>
        <v>73.03</v>
      </c>
      <c r="M264" s="37">
        <v>1.7000000000000001E-2</v>
      </c>
      <c r="N264" s="37">
        <f t="shared" si="270"/>
        <v>16.486855000000002</v>
      </c>
      <c r="O264" s="35">
        <f t="shared" si="271"/>
        <v>1204.0350206500002</v>
      </c>
      <c r="P264" s="38">
        <f t="shared" si="266"/>
        <v>1727.7351206500002</v>
      </c>
      <c r="Q264" s="39"/>
    </row>
    <row r="265" spans="1:17" x14ac:dyDescent="0.25">
      <c r="A265" s="122" t="str">
        <f>IF(TRIM(G265)&lt;&gt;"",COUNTA(G$9:$G265)&amp;"","")</f>
        <v>199</v>
      </c>
      <c r="B265" s="123" t="s">
        <v>609</v>
      </c>
      <c r="C265" s="123" t="s">
        <v>609</v>
      </c>
      <c r="D265" s="50"/>
      <c r="E265" s="111" t="s">
        <v>614</v>
      </c>
      <c r="F265" s="124">
        <f>F261*13.75</f>
        <v>881.65000000000009</v>
      </c>
      <c r="G265" s="125" t="s">
        <v>214</v>
      </c>
      <c r="H265" s="33">
        <v>0.1</v>
      </c>
      <c r="I265" s="82">
        <f t="shared" si="267"/>
        <v>969.81500000000005</v>
      </c>
      <c r="J265" s="34">
        <v>0.69</v>
      </c>
      <c r="K265" s="35">
        <f t="shared" si="268"/>
        <v>669.17234999999994</v>
      </c>
      <c r="L265" s="36">
        <f t="shared" si="269"/>
        <v>73.03</v>
      </c>
      <c r="M265" s="37">
        <v>1.4E-2</v>
      </c>
      <c r="N265" s="37">
        <f t="shared" si="270"/>
        <v>13.57741</v>
      </c>
      <c r="O265" s="35">
        <f t="shared" si="271"/>
        <v>991.55825230000005</v>
      </c>
      <c r="P265" s="38">
        <f t="shared" si="266"/>
        <v>1660.7306023000001</v>
      </c>
      <c r="Q265" s="39"/>
    </row>
    <row r="266" spans="1:17" x14ac:dyDescent="0.25">
      <c r="A266" s="122" t="str">
        <f>IF(TRIM(G266)&lt;&gt;"",COUNTA(G$9:$G266)&amp;"","")</f>
        <v>200</v>
      </c>
      <c r="B266" s="123" t="s">
        <v>609</v>
      </c>
      <c r="C266" s="123" t="s">
        <v>609</v>
      </c>
      <c r="D266" s="50"/>
      <c r="E266" s="111" t="s">
        <v>615</v>
      </c>
      <c r="F266" s="124">
        <f>F261*13.75</f>
        <v>881.65000000000009</v>
      </c>
      <c r="G266" s="125" t="s">
        <v>214</v>
      </c>
      <c r="H266" s="33">
        <v>0.1</v>
      </c>
      <c r="I266" s="82">
        <f t="shared" si="267"/>
        <v>969.81500000000005</v>
      </c>
      <c r="J266" s="34">
        <v>2.4</v>
      </c>
      <c r="K266" s="35">
        <f t="shared" si="268"/>
        <v>2327.556</v>
      </c>
      <c r="L266" s="36">
        <f t="shared" si="269"/>
        <v>73.03</v>
      </c>
      <c r="M266" s="37">
        <v>5.0000000000000001E-3</v>
      </c>
      <c r="N266" s="37">
        <f t="shared" si="270"/>
        <v>4.849075</v>
      </c>
      <c r="O266" s="35">
        <f t="shared" si="271"/>
        <v>354.12794725000003</v>
      </c>
      <c r="P266" s="38">
        <f t="shared" si="266"/>
        <v>2681.6839472500001</v>
      </c>
      <c r="Q266" s="39"/>
    </row>
    <row r="267" spans="1:17" x14ac:dyDescent="0.25">
      <c r="A267" s="122" t="str">
        <f>IF(TRIM(G267)&lt;&gt;"",COUNTA(G$9:$G267)&amp;"","")</f>
        <v>201</v>
      </c>
      <c r="B267" s="123" t="s">
        <v>609</v>
      </c>
      <c r="C267" s="123" t="s">
        <v>609</v>
      </c>
      <c r="D267" s="50"/>
      <c r="E267" s="111" t="s">
        <v>706</v>
      </c>
      <c r="F267" s="124">
        <f>F261*2</f>
        <v>128.24</v>
      </c>
      <c r="G267" s="125" t="s">
        <v>228</v>
      </c>
      <c r="H267" s="33">
        <v>0.1</v>
      </c>
      <c r="I267" s="82">
        <f t="shared" si="267"/>
        <v>141.06400000000002</v>
      </c>
      <c r="J267" s="34">
        <v>0.05</v>
      </c>
      <c r="K267" s="35">
        <f t="shared" si="268"/>
        <v>7.0532000000000012</v>
      </c>
      <c r="L267" s="36">
        <f t="shared" si="269"/>
        <v>73.03</v>
      </c>
      <c r="M267" s="37">
        <v>1.6E-2</v>
      </c>
      <c r="N267" s="37">
        <f t="shared" si="270"/>
        <v>2.2570240000000004</v>
      </c>
      <c r="O267" s="35">
        <f t="shared" si="271"/>
        <v>164.83046272000004</v>
      </c>
      <c r="P267" s="38">
        <f t="shared" si="266"/>
        <v>171.88366272000005</v>
      </c>
      <c r="Q267" s="39"/>
    </row>
    <row r="268" spans="1:17" x14ac:dyDescent="0.25">
      <c r="A268" s="122" t="str">
        <f>IF(TRIM(G268)&lt;&gt;"",COUNTA(G$9:$G268)&amp;"","")</f>
        <v>202</v>
      </c>
      <c r="B268" s="123" t="s">
        <v>609</v>
      </c>
      <c r="C268" s="123" t="s">
        <v>609</v>
      </c>
      <c r="D268" s="50"/>
      <c r="E268" s="211" t="s">
        <v>616</v>
      </c>
      <c r="F268" s="193">
        <v>17.93</v>
      </c>
      <c r="G268" s="193" t="s">
        <v>228</v>
      </c>
      <c r="H268" s="33"/>
      <c r="I268" s="82"/>
      <c r="J268" s="34"/>
      <c r="K268" s="35"/>
      <c r="L268" s="36"/>
      <c r="M268" s="37"/>
      <c r="N268" s="37"/>
      <c r="O268" s="35"/>
      <c r="P268" s="38">
        <f t="shared" si="266"/>
        <v>0</v>
      </c>
      <c r="Q268" s="39"/>
    </row>
    <row r="269" spans="1:17" ht="30" x14ac:dyDescent="0.25">
      <c r="A269" s="122" t="str">
        <f>IF(TRIM(G269)&lt;&gt;"",COUNTA(G$9:$G269)&amp;"","")</f>
        <v>203</v>
      </c>
      <c r="B269" s="123" t="s">
        <v>609</v>
      </c>
      <c r="C269" s="123" t="s">
        <v>609</v>
      </c>
      <c r="D269" s="50"/>
      <c r="E269" s="111" t="s">
        <v>617</v>
      </c>
      <c r="F269" s="124">
        <f>F268</f>
        <v>17.93</v>
      </c>
      <c r="G269" s="125" t="s">
        <v>228</v>
      </c>
      <c r="H269" s="33">
        <v>0.1</v>
      </c>
      <c r="I269" s="82">
        <f t="shared" ref="I269:I472" si="272">IF(F269=0,"",F269+(F269*H269))</f>
        <v>19.722999999999999</v>
      </c>
      <c r="J269" s="34">
        <f>9.61/10*10</f>
        <v>9.61</v>
      </c>
      <c r="K269" s="35">
        <f t="shared" ref="K269:K472" si="273">IF(F269=0,"",J269*I269)</f>
        <v>189.53802999999999</v>
      </c>
      <c r="L269" s="36">
        <f t="shared" ref="L269:L472" si="274">IF(F269=0,"",L$14)</f>
        <v>73.03</v>
      </c>
      <c r="M269" s="37">
        <f>0.16/10*10</f>
        <v>0.16</v>
      </c>
      <c r="N269" s="37">
        <f t="shared" ref="N269:N472" si="275">IF(F269=0,"",M269*I269)</f>
        <v>3.1556799999999998</v>
      </c>
      <c r="O269" s="35">
        <f t="shared" ref="O269:O472" si="276">IF(F269=0,"",N269*L269)</f>
        <v>230.45931039999999</v>
      </c>
      <c r="P269" s="38">
        <f t="shared" si="266"/>
        <v>419.99734039999998</v>
      </c>
      <c r="Q269" s="39"/>
    </row>
    <row r="270" spans="1:17" x14ac:dyDescent="0.25">
      <c r="A270" s="122" t="str">
        <f>IF(TRIM(G270)&lt;&gt;"",COUNTA(G$9:$G270)&amp;"","")</f>
        <v>204</v>
      </c>
      <c r="B270" s="123" t="s">
        <v>609</v>
      </c>
      <c r="C270" s="123" t="s">
        <v>609</v>
      </c>
      <c r="D270" s="50"/>
      <c r="E270" s="111" t="s">
        <v>612</v>
      </c>
      <c r="F270" s="124">
        <f>F268</f>
        <v>17.93</v>
      </c>
      <c r="G270" s="125" t="s">
        <v>228</v>
      </c>
      <c r="H270" s="33">
        <v>0.1</v>
      </c>
      <c r="I270" s="82">
        <f t="shared" si="272"/>
        <v>19.722999999999999</v>
      </c>
      <c r="J270" s="34">
        <v>1.51</v>
      </c>
      <c r="K270" s="35">
        <f t="shared" si="273"/>
        <v>29.78173</v>
      </c>
      <c r="L270" s="36">
        <f t="shared" si="274"/>
        <v>73.03</v>
      </c>
      <c r="M270" s="37">
        <v>3.5999999999999997E-2</v>
      </c>
      <c r="N270" s="37">
        <f t="shared" si="275"/>
        <v>0.71002799999999988</v>
      </c>
      <c r="O270" s="35">
        <f t="shared" si="276"/>
        <v>51.853344839999991</v>
      </c>
      <c r="P270" s="38">
        <f t="shared" si="266"/>
        <v>81.635074839999987</v>
      </c>
      <c r="Q270" s="39"/>
    </row>
    <row r="271" spans="1:17" x14ac:dyDescent="0.25">
      <c r="A271" s="122" t="str">
        <f>IF(TRIM(G271)&lt;&gt;"",COUNTA(G$9:$G271)&amp;"","")</f>
        <v>205</v>
      </c>
      <c r="B271" s="123" t="s">
        <v>609</v>
      </c>
      <c r="C271" s="123" t="s">
        <v>609</v>
      </c>
      <c r="D271" s="50"/>
      <c r="E271" s="111" t="s">
        <v>613</v>
      </c>
      <c r="F271" s="124">
        <f>F268*9.5</f>
        <v>170.33500000000001</v>
      </c>
      <c r="G271" s="125" t="s">
        <v>214</v>
      </c>
      <c r="H271" s="33">
        <v>0.1</v>
      </c>
      <c r="I271" s="82">
        <f t="shared" si="272"/>
        <v>187.36850000000001</v>
      </c>
      <c r="J271" s="34">
        <v>0.54</v>
      </c>
      <c r="K271" s="35">
        <f t="shared" si="273"/>
        <v>101.17899000000001</v>
      </c>
      <c r="L271" s="36">
        <f t="shared" si="274"/>
        <v>73.03</v>
      </c>
      <c r="M271" s="37">
        <v>1.7000000000000001E-2</v>
      </c>
      <c r="N271" s="37">
        <f t="shared" si="275"/>
        <v>3.1852645000000006</v>
      </c>
      <c r="O271" s="35">
        <f t="shared" si="276"/>
        <v>232.61986643500003</v>
      </c>
      <c r="P271" s="38">
        <f t="shared" si="266"/>
        <v>333.79885643500006</v>
      </c>
      <c r="Q271" s="39"/>
    </row>
    <row r="272" spans="1:17" x14ac:dyDescent="0.25">
      <c r="A272" s="122" t="str">
        <f>IF(TRIM(G272)&lt;&gt;"",COUNTA(G$9:$G272)&amp;"","")</f>
        <v>206</v>
      </c>
      <c r="B272" s="123" t="s">
        <v>609</v>
      </c>
      <c r="C272" s="123" t="s">
        <v>609</v>
      </c>
      <c r="D272" s="50"/>
      <c r="E272" s="111" t="s">
        <v>614</v>
      </c>
      <c r="F272" s="124">
        <f>F268*9.5</f>
        <v>170.33500000000001</v>
      </c>
      <c r="G272" s="125" t="s">
        <v>214</v>
      </c>
      <c r="H272" s="33">
        <v>0.1</v>
      </c>
      <c r="I272" s="82">
        <f t="shared" si="272"/>
        <v>187.36850000000001</v>
      </c>
      <c r="J272" s="34">
        <v>0.69</v>
      </c>
      <c r="K272" s="35">
        <f t="shared" si="273"/>
        <v>129.284265</v>
      </c>
      <c r="L272" s="36">
        <f t="shared" si="274"/>
        <v>73.03</v>
      </c>
      <c r="M272" s="37">
        <v>1.4E-2</v>
      </c>
      <c r="N272" s="37">
        <f t="shared" si="275"/>
        <v>2.6231590000000002</v>
      </c>
      <c r="O272" s="35">
        <f t="shared" si="276"/>
        <v>191.56930177000001</v>
      </c>
      <c r="P272" s="38">
        <f t="shared" si="266"/>
        <v>320.85356677000004</v>
      </c>
      <c r="Q272" s="39"/>
    </row>
    <row r="273" spans="1:17" x14ac:dyDescent="0.25">
      <c r="A273" s="122" t="str">
        <f>IF(TRIM(G273)&lt;&gt;"",COUNTA(G$9:$G273)&amp;"","")</f>
        <v>207</v>
      </c>
      <c r="B273" s="123" t="s">
        <v>609</v>
      </c>
      <c r="C273" s="123" t="s">
        <v>609</v>
      </c>
      <c r="D273" s="50"/>
      <c r="E273" s="111" t="s">
        <v>615</v>
      </c>
      <c r="F273" s="124">
        <f>F268*9.5</f>
        <v>170.33500000000001</v>
      </c>
      <c r="G273" s="125" t="s">
        <v>214</v>
      </c>
      <c r="H273" s="33">
        <v>0.1</v>
      </c>
      <c r="I273" s="82">
        <f t="shared" si="272"/>
        <v>187.36850000000001</v>
      </c>
      <c r="J273" s="34">
        <v>2.4</v>
      </c>
      <c r="K273" s="35">
        <f t="shared" si="273"/>
        <v>449.68440000000004</v>
      </c>
      <c r="L273" s="36">
        <f t="shared" si="274"/>
        <v>73.03</v>
      </c>
      <c r="M273" s="37">
        <v>5.0000000000000001E-3</v>
      </c>
      <c r="N273" s="37">
        <f t="shared" si="275"/>
        <v>0.93684250000000002</v>
      </c>
      <c r="O273" s="35">
        <f t="shared" si="276"/>
        <v>68.417607775000008</v>
      </c>
      <c r="P273" s="38">
        <f t="shared" si="266"/>
        <v>518.10200777500006</v>
      </c>
      <c r="Q273" s="39"/>
    </row>
    <row r="274" spans="1:17" x14ac:dyDescent="0.25">
      <c r="A274" s="122" t="str">
        <f>IF(TRIM(G274)&lt;&gt;"",COUNTA(G$9:$G274)&amp;"","")</f>
        <v>208</v>
      </c>
      <c r="B274" s="123" t="s">
        <v>609</v>
      </c>
      <c r="C274" s="123" t="s">
        <v>609</v>
      </c>
      <c r="D274" s="50"/>
      <c r="E274" s="111" t="s">
        <v>706</v>
      </c>
      <c r="F274" s="124">
        <f>F268*2</f>
        <v>35.86</v>
      </c>
      <c r="G274" s="125" t="s">
        <v>228</v>
      </c>
      <c r="H274" s="33">
        <v>0.1</v>
      </c>
      <c r="I274" s="82">
        <f t="shared" si="272"/>
        <v>39.445999999999998</v>
      </c>
      <c r="J274" s="34">
        <v>0.05</v>
      </c>
      <c r="K274" s="35">
        <f t="shared" si="273"/>
        <v>1.9722999999999999</v>
      </c>
      <c r="L274" s="36">
        <f t="shared" si="274"/>
        <v>73.03</v>
      </c>
      <c r="M274" s="37">
        <v>1.6E-2</v>
      </c>
      <c r="N274" s="37">
        <f t="shared" si="275"/>
        <v>0.63113600000000003</v>
      </c>
      <c r="O274" s="35">
        <f t="shared" si="276"/>
        <v>46.091862080000006</v>
      </c>
      <c r="P274" s="38">
        <f t="shared" si="266"/>
        <v>48.064162080000003</v>
      </c>
      <c r="Q274" s="39"/>
    </row>
    <row r="275" spans="1:17" x14ac:dyDescent="0.25">
      <c r="A275" s="122" t="str">
        <f>IF(TRIM(G275)&lt;&gt;"",COUNTA(G$9:$G275)&amp;"","")</f>
        <v>209</v>
      </c>
      <c r="B275" s="123" t="s">
        <v>609</v>
      </c>
      <c r="C275" s="123" t="s">
        <v>609</v>
      </c>
      <c r="D275" s="50"/>
      <c r="E275" s="211" t="s">
        <v>618</v>
      </c>
      <c r="F275" s="193">
        <v>29.85</v>
      </c>
      <c r="G275" s="193" t="s">
        <v>228</v>
      </c>
      <c r="H275" s="33"/>
      <c r="I275" s="82"/>
      <c r="J275" s="34"/>
      <c r="K275" s="35"/>
      <c r="L275" s="36"/>
      <c r="M275" s="37"/>
      <c r="N275" s="37"/>
      <c r="O275" s="35"/>
      <c r="P275" s="38">
        <f t="shared" si="266"/>
        <v>0</v>
      </c>
      <c r="Q275" s="39"/>
    </row>
    <row r="276" spans="1:17" ht="30" x14ac:dyDescent="0.25">
      <c r="A276" s="122" t="str">
        <f>IF(TRIM(G276)&lt;&gt;"",COUNTA(G$9:$G276)&amp;"","")</f>
        <v>210</v>
      </c>
      <c r="B276" s="123" t="s">
        <v>609</v>
      </c>
      <c r="C276" s="123" t="s">
        <v>609</v>
      </c>
      <c r="D276" s="50"/>
      <c r="E276" s="111" t="s">
        <v>619</v>
      </c>
      <c r="F276" s="124">
        <f>F275</f>
        <v>29.85</v>
      </c>
      <c r="G276" s="125" t="s">
        <v>228</v>
      </c>
      <c r="H276" s="33">
        <v>0.1</v>
      </c>
      <c r="I276" s="82">
        <f t="shared" ref="I276:I282" si="277">IF(F276=0,"",F276+(F276*H276))</f>
        <v>32.835000000000001</v>
      </c>
      <c r="J276" s="34">
        <f>9.61/10*14</f>
        <v>13.453999999999999</v>
      </c>
      <c r="K276" s="35">
        <f t="shared" ref="K276:K282" si="278">IF(F276=0,"",J276*I276)</f>
        <v>441.76209</v>
      </c>
      <c r="L276" s="36">
        <f t="shared" ref="L276:L282" si="279">IF(F276=0,"",L$14)</f>
        <v>73.03</v>
      </c>
      <c r="M276" s="37">
        <f>0.16/10*14</f>
        <v>0.224</v>
      </c>
      <c r="N276" s="37">
        <f t="shared" ref="N276:N282" si="280">IF(F276=0,"",M276*I276)</f>
        <v>7.3550400000000007</v>
      </c>
      <c r="O276" s="35">
        <f t="shared" ref="O276:O282" si="281">IF(F276=0,"",N276*L276)</f>
        <v>537.13857120000011</v>
      </c>
      <c r="P276" s="38">
        <f t="shared" si="266"/>
        <v>978.90066120000006</v>
      </c>
      <c r="Q276" s="39"/>
    </row>
    <row r="277" spans="1:17" x14ac:dyDescent="0.25">
      <c r="A277" s="122" t="str">
        <f>IF(TRIM(G277)&lt;&gt;"",COUNTA(G$9:$G277)&amp;"","")</f>
        <v>211</v>
      </c>
      <c r="B277" s="123" t="s">
        <v>609</v>
      </c>
      <c r="C277" s="123" t="s">
        <v>609</v>
      </c>
      <c r="D277" s="50"/>
      <c r="E277" s="111" t="s">
        <v>612</v>
      </c>
      <c r="F277" s="124">
        <f>F275</f>
        <v>29.85</v>
      </c>
      <c r="G277" s="125" t="s">
        <v>228</v>
      </c>
      <c r="H277" s="33">
        <v>0.1</v>
      </c>
      <c r="I277" s="82">
        <f t="shared" si="277"/>
        <v>32.835000000000001</v>
      </c>
      <c r="J277" s="34">
        <v>1.51</v>
      </c>
      <c r="K277" s="35">
        <f t="shared" si="278"/>
        <v>49.580849999999998</v>
      </c>
      <c r="L277" s="36">
        <f t="shared" si="279"/>
        <v>73.03</v>
      </c>
      <c r="M277" s="37">
        <v>3.5999999999999997E-2</v>
      </c>
      <c r="N277" s="37">
        <f t="shared" si="280"/>
        <v>1.1820599999999999</v>
      </c>
      <c r="O277" s="35">
        <f t="shared" si="281"/>
        <v>86.325841799999992</v>
      </c>
      <c r="P277" s="38">
        <f t="shared" si="266"/>
        <v>135.90669179999998</v>
      </c>
      <c r="Q277" s="39"/>
    </row>
    <row r="278" spans="1:17" x14ac:dyDescent="0.25">
      <c r="A278" s="122" t="str">
        <f>IF(TRIM(G278)&lt;&gt;"",COUNTA(G$9:$G278)&amp;"","")</f>
        <v>212</v>
      </c>
      <c r="B278" s="123" t="s">
        <v>609</v>
      </c>
      <c r="C278" s="123" t="s">
        <v>609</v>
      </c>
      <c r="D278" s="50"/>
      <c r="E278" s="111" t="s">
        <v>613</v>
      </c>
      <c r="F278" s="124">
        <f>(F275*12.33)-F279</f>
        <v>263.24549999999999</v>
      </c>
      <c r="G278" s="125" t="s">
        <v>214</v>
      </c>
      <c r="H278" s="33">
        <v>0.1</v>
      </c>
      <c r="I278" s="82">
        <f t="shared" si="277"/>
        <v>289.57004999999998</v>
      </c>
      <c r="J278" s="34">
        <v>0.54</v>
      </c>
      <c r="K278" s="35">
        <f t="shared" si="278"/>
        <v>156.36782700000001</v>
      </c>
      <c r="L278" s="36">
        <f t="shared" si="279"/>
        <v>73.03</v>
      </c>
      <c r="M278" s="37">
        <v>1.7000000000000001E-2</v>
      </c>
      <c r="N278" s="37">
        <f t="shared" si="280"/>
        <v>4.9226908500000004</v>
      </c>
      <c r="O278" s="35">
        <f t="shared" si="281"/>
        <v>359.50411277550006</v>
      </c>
      <c r="P278" s="38">
        <f t="shared" si="266"/>
        <v>515.8719397755001</v>
      </c>
      <c r="Q278" s="39"/>
    </row>
    <row r="279" spans="1:17" x14ac:dyDescent="0.25">
      <c r="A279" s="122" t="str">
        <f>IF(TRIM(G279)&lt;&gt;"",COUNTA(G$9:$G279)&amp;"","")</f>
        <v>213</v>
      </c>
      <c r="B279" s="123" t="s">
        <v>609</v>
      </c>
      <c r="C279" s="123" t="s">
        <v>609</v>
      </c>
      <c r="D279" s="50"/>
      <c r="E279" s="111" t="s">
        <v>620</v>
      </c>
      <c r="F279" s="124">
        <f>8.5*12.33</f>
        <v>104.80500000000001</v>
      </c>
      <c r="G279" s="125" t="s">
        <v>214</v>
      </c>
      <c r="H279" s="33">
        <v>0.1</v>
      </c>
      <c r="I279" s="82">
        <f t="shared" si="277"/>
        <v>115.28550000000001</v>
      </c>
      <c r="J279" s="34">
        <v>0.68</v>
      </c>
      <c r="K279" s="35">
        <f t="shared" si="278"/>
        <v>78.394140000000021</v>
      </c>
      <c r="L279" s="36">
        <f t="shared" si="279"/>
        <v>73.03</v>
      </c>
      <c r="M279" s="37">
        <v>1.7000000000000001E-2</v>
      </c>
      <c r="N279" s="37">
        <f t="shared" si="280"/>
        <v>1.9598535000000004</v>
      </c>
      <c r="O279" s="35">
        <f t="shared" si="281"/>
        <v>143.12810110500004</v>
      </c>
      <c r="P279" s="38">
        <f t="shared" si="266"/>
        <v>221.52224110500006</v>
      </c>
      <c r="Q279" s="39"/>
    </row>
    <row r="280" spans="1:17" x14ac:dyDescent="0.25">
      <c r="A280" s="122" t="str">
        <f>IF(TRIM(G280)&lt;&gt;"",COUNTA(G$9:$G280)&amp;"","")</f>
        <v>214</v>
      </c>
      <c r="B280" s="123" t="s">
        <v>609</v>
      </c>
      <c r="C280" s="123" t="s">
        <v>609</v>
      </c>
      <c r="D280" s="50"/>
      <c r="E280" s="111" t="s">
        <v>614</v>
      </c>
      <c r="F280" s="124">
        <f>F275*12.33</f>
        <v>368.0505</v>
      </c>
      <c r="G280" s="125" t="s">
        <v>214</v>
      </c>
      <c r="H280" s="33">
        <v>0.1</v>
      </c>
      <c r="I280" s="82">
        <f t="shared" si="277"/>
        <v>404.85554999999999</v>
      </c>
      <c r="J280" s="34">
        <v>0.69</v>
      </c>
      <c r="K280" s="35">
        <f t="shared" si="278"/>
        <v>279.35032949999999</v>
      </c>
      <c r="L280" s="36">
        <f t="shared" si="279"/>
        <v>73.03</v>
      </c>
      <c r="M280" s="37">
        <v>1.4E-2</v>
      </c>
      <c r="N280" s="37">
        <f t="shared" si="280"/>
        <v>5.6679776999999998</v>
      </c>
      <c r="O280" s="35">
        <f t="shared" si="281"/>
        <v>413.93241143099999</v>
      </c>
      <c r="P280" s="38">
        <f t="shared" si="266"/>
        <v>693.28274093100003</v>
      </c>
      <c r="Q280" s="39"/>
    </row>
    <row r="281" spans="1:17" x14ac:dyDescent="0.25">
      <c r="A281" s="122" t="str">
        <f>IF(TRIM(G281)&lt;&gt;"",COUNTA(G$9:$G281)&amp;"","")</f>
        <v>215</v>
      </c>
      <c r="B281" s="123" t="s">
        <v>609</v>
      </c>
      <c r="C281" s="123" t="s">
        <v>609</v>
      </c>
      <c r="D281" s="50"/>
      <c r="E281" s="111" t="s">
        <v>615</v>
      </c>
      <c r="F281" s="124">
        <f>F275*12.33</f>
        <v>368.0505</v>
      </c>
      <c r="G281" s="125" t="s">
        <v>214</v>
      </c>
      <c r="H281" s="33">
        <v>0.1</v>
      </c>
      <c r="I281" s="82">
        <f t="shared" si="277"/>
        <v>404.85554999999999</v>
      </c>
      <c r="J281" s="34">
        <v>2.4</v>
      </c>
      <c r="K281" s="35">
        <f t="shared" si="278"/>
        <v>971.65331999999989</v>
      </c>
      <c r="L281" s="36">
        <f t="shared" si="279"/>
        <v>73.03</v>
      </c>
      <c r="M281" s="37">
        <v>5.0000000000000001E-3</v>
      </c>
      <c r="N281" s="37">
        <f t="shared" si="280"/>
        <v>2.02427775</v>
      </c>
      <c r="O281" s="35">
        <f t="shared" si="281"/>
        <v>147.8330040825</v>
      </c>
      <c r="P281" s="38">
        <f t="shared" si="266"/>
        <v>1119.4863240824998</v>
      </c>
      <c r="Q281" s="39"/>
    </row>
    <row r="282" spans="1:17" x14ac:dyDescent="0.25">
      <c r="A282" s="122" t="str">
        <f>IF(TRIM(G282)&lt;&gt;"",COUNTA(G$9:$G282)&amp;"","")</f>
        <v>216</v>
      </c>
      <c r="B282" s="123" t="s">
        <v>609</v>
      </c>
      <c r="C282" s="123" t="s">
        <v>609</v>
      </c>
      <c r="D282" s="50"/>
      <c r="E282" s="111" t="s">
        <v>706</v>
      </c>
      <c r="F282" s="124">
        <f>F275*2</f>
        <v>59.7</v>
      </c>
      <c r="G282" s="125" t="s">
        <v>228</v>
      </c>
      <c r="H282" s="33">
        <v>0.1</v>
      </c>
      <c r="I282" s="82">
        <f t="shared" si="277"/>
        <v>65.67</v>
      </c>
      <c r="J282" s="34">
        <v>0.05</v>
      </c>
      <c r="K282" s="35">
        <f t="shared" si="278"/>
        <v>3.2835000000000001</v>
      </c>
      <c r="L282" s="36">
        <f t="shared" si="279"/>
        <v>73.03</v>
      </c>
      <c r="M282" s="37">
        <v>1.6E-2</v>
      </c>
      <c r="N282" s="37">
        <f t="shared" si="280"/>
        <v>1.0507200000000001</v>
      </c>
      <c r="O282" s="35">
        <f t="shared" si="281"/>
        <v>76.73408160000001</v>
      </c>
      <c r="P282" s="38">
        <f t="shared" si="266"/>
        <v>80.017581600000014</v>
      </c>
      <c r="Q282" s="39"/>
    </row>
    <row r="283" spans="1:17" x14ac:dyDescent="0.25">
      <c r="A283" s="122" t="str">
        <f>IF(TRIM(G283)&lt;&gt;"",COUNTA(G$9:$G283)&amp;"","")</f>
        <v>217</v>
      </c>
      <c r="B283" s="123" t="s">
        <v>609</v>
      </c>
      <c r="C283" s="123" t="s">
        <v>609</v>
      </c>
      <c r="D283" s="50"/>
      <c r="E283" s="211" t="s">
        <v>621</v>
      </c>
      <c r="F283" s="193">
        <v>12.03</v>
      </c>
      <c r="G283" s="193" t="s">
        <v>228</v>
      </c>
      <c r="H283" s="33"/>
      <c r="I283" s="82"/>
      <c r="J283" s="34"/>
      <c r="K283" s="35"/>
      <c r="L283" s="36"/>
      <c r="M283" s="37"/>
      <c r="N283" s="37"/>
      <c r="O283" s="35"/>
      <c r="P283" s="38">
        <f t="shared" si="266"/>
        <v>0</v>
      </c>
      <c r="Q283" s="39"/>
    </row>
    <row r="284" spans="1:17" ht="30" x14ac:dyDescent="0.25">
      <c r="A284" s="122" t="str">
        <f>IF(TRIM(G284)&lt;&gt;"",COUNTA(G$9:$G284)&amp;"","")</f>
        <v>218</v>
      </c>
      <c r="B284" s="123" t="s">
        <v>609</v>
      </c>
      <c r="C284" s="123" t="s">
        <v>609</v>
      </c>
      <c r="D284" s="50"/>
      <c r="E284" s="111" t="s">
        <v>622</v>
      </c>
      <c r="F284" s="124">
        <f>F283</f>
        <v>12.03</v>
      </c>
      <c r="G284" s="125" t="s">
        <v>228</v>
      </c>
      <c r="H284" s="33">
        <v>0.1</v>
      </c>
      <c r="I284" s="82">
        <f t="shared" ref="I284:I288" si="282">IF(F284=0,"",F284+(F284*H284))</f>
        <v>13.232999999999999</v>
      </c>
      <c r="J284" s="34">
        <f>9.61/10*4</f>
        <v>3.8439999999999999</v>
      </c>
      <c r="K284" s="35">
        <f t="shared" ref="K284:K288" si="283">IF(F284=0,"",J284*I284)</f>
        <v>50.867651999999993</v>
      </c>
      <c r="L284" s="36">
        <f t="shared" ref="L284:L288" si="284">IF(F284=0,"",L$14)</f>
        <v>73.03</v>
      </c>
      <c r="M284" s="37">
        <f>0.16/10*4</f>
        <v>6.4000000000000001E-2</v>
      </c>
      <c r="N284" s="37">
        <f t="shared" ref="N284:N288" si="285">IF(F284=0,"",M284*I284)</f>
        <v>0.84691199999999989</v>
      </c>
      <c r="O284" s="35">
        <f t="shared" ref="O284:O288" si="286">IF(F284=0,"",N284*L284)</f>
        <v>61.849983359999996</v>
      </c>
      <c r="P284" s="38">
        <f t="shared" si="266"/>
        <v>112.71763535999999</v>
      </c>
      <c r="Q284" s="39"/>
    </row>
    <row r="285" spans="1:17" x14ac:dyDescent="0.25">
      <c r="A285" s="122" t="str">
        <f>IF(TRIM(G285)&lt;&gt;"",COUNTA(G$9:$G285)&amp;"","")</f>
        <v>219</v>
      </c>
      <c r="B285" s="123" t="s">
        <v>609</v>
      </c>
      <c r="C285" s="123" t="s">
        <v>609</v>
      </c>
      <c r="D285" s="50"/>
      <c r="E285" s="111" t="s">
        <v>613</v>
      </c>
      <c r="F285" s="124">
        <f>F283*2.5</f>
        <v>30.074999999999999</v>
      </c>
      <c r="G285" s="125" t="s">
        <v>214</v>
      </c>
      <c r="H285" s="33">
        <v>0.1</v>
      </c>
      <c r="I285" s="82">
        <f t="shared" si="282"/>
        <v>33.082499999999996</v>
      </c>
      <c r="J285" s="34">
        <v>0.54</v>
      </c>
      <c r="K285" s="35">
        <f t="shared" si="283"/>
        <v>17.864549999999998</v>
      </c>
      <c r="L285" s="36">
        <f t="shared" si="284"/>
        <v>73.03</v>
      </c>
      <c r="M285" s="37">
        <v>1.7000000000000001E-2</v>
      </c>
      <c r="N285" s="37">
        <f t="shared" si="285"/>
        <v>0.56240250000000003</v>
      </c>
      <c r="O285" s="35">
        <f t="shared" si="286"/>
        <v>41.072254575000002</v>
      </c>
      <c r="P285" s="38">
        <f t="shared" si="266"/>
        <v>58.936804574999996</v>
      </c>
      <c r="Q285" s="39"/>
    </row>
    <row r="286" spans="1:17" x14ac:dyDescent="0.25">
      <c r="A286" s="122" t="str">
        <f>IF(TRIM(G286)&lt;&gt;"",COUNTA(G$9:$G286)&amp;"","")</f>
        <v>220</v>
      </c>
      <c r="B286" s="123" t="s">
        <v>609</v>
      </c>
      <c r="C286" s="123" t="s">
        <v>609</v>
      </c>
      <c r="D286" s="50"/>
      <c r="E286" s="111" t="s">
        <v>614</v>
      </c>
      <c r="F286" s="124">
        <f>F283*2.5</f>
        <v>30.074999999999999</v>
      </c>
      <c r="G286" s="125" t="s">
        <v>214</v>
      </c>
      <c r="H286" s="33">
        <v>0.1</v>
      </c>
      <c r="I286" s="82">
        <f t="shared" si="282"/>
        <v>33.082499999999996</v>
      </c>
      <c r="J286" s="34">
        <v>0.69</v>
      </c>
      <c r="K286" s="35">
        <f t="shared" si="283"/>
        <v>22.826924999999996</v>
      </c>
      <c r="L286" s="36">
        <f t="shared" si="284"/>
        <v>73.03</v>
      </c>
      <c r="M286" s="37">
        <v>1.4E-2</v>
      </c>
      <c r="N286" s="37">
        <f t="shared" si="285"/>
        <v>0.46315499999999993</v>
      </c>
      <c r="O286" s="35">
        <f t="shared" si="286"/>
        <v>33.824209649999993</v>
      </c>
      <c r="P286" s="38">
        <f t="shared" si="266"/>
        <v>56.651134649999989</v>
      </c>
      <c r="Q286" s="39"/>
    </row>
    <row r="287" spans="1:17" x14ac:dyDescent="0.25">
      <c r="A287" s="122" t="str">
        <f>IF(TRIM(G287)&lt;&gt;"",COUNTA(G$9:$G287)&amp;"","")</f>
        <v>221</v>
      </c>
      <c r="B287" s="123" t="s">
        <v>609</v>
      </c>
      <c r="C287" s="123" t="s">
        <v>609</v>
      </c>
      <c r="D287" s="50"/>
      <c r="E287" s="111" t="s">
        <v>615</v>
      </c>
      <c r="F287" s="124">
        <f>F283*2.5</f>
        <v>30.074999999999999</v>
      </c>
      <c r="G287" s="125" t="s">
        <v>214</v>
      </c>
      <c r="H287" s="33">
        <v>0.1</v>
      </c>
      <c r="I287" s="82">
        <f t="shared" si="282"/>
        <v>33.082499999999996</v>
      </c>
      <c r="J287" s="34">
        <v>2.4</v>
      </c>
      <c r="K287" s="35">
        <f t="shared" si="283"/>
        <v>79.397999999999982</v>
      </c>
      <c r="L287" s="36">
        <f t="shared" si="284"/>
        <v>73.03</v>
      </c>
      <c r="M287" s="37">
        <v>5.0000000000000001E-3</v>
      </c>
      <c r="N287" s="37">
        <f t="shared" si="285"/>
        <v>0.16541249999999999</v>
      </c>
      <c r="O287" s="35">
        <f t="shared" si="286"/>
        <v>12.080074874999999</v>
      </c>
      <c r="P287" s="38">
        <f t="shared" si="266"/>
        <v>91.478074874999976</v>
      </c>
      <c r="Q287" s="39"/>
    </row>
    <row r="288" spans="1:17" x14ac:dyDescent="0.25">
      <c r="A288" s="122" t="str">
        <f>IF(TRIM(G288)&lt;&gt;"",COUNTA(G$9:$G288)&amp;"","")</f>
        <v>222</v>
      </c>
      <c r="B288" s="123" t="s">
        <v>609</v>
      </c>
      <c r="C288" s="123" t="s">
        <v>609</v>
      </c>
      <c r="D288" s="50"/>
      <c r="E288" s="111" t="s">
        <v>706</v>
      </c>
      <c r="F288" s="124">
        <f>F283*2</f>
        <v>24.06</v>
      </c>
      <c r="G288" s="125" t="s">
        <v>228</v>
      </c>
      <c r="H288" s="33">
        <v>0.1</v>
      </c>
      <c r="I288" s="82">
        <f t="shared" si="282"/>
        <v>26.465999999999998</v>
      </c>
      <c r="J288" s="34">
        <v>0.05</v>
      </c>
      <c r="K288" s="35">
        <f t="shared" si="283"/>
        <v>1.3232999999999999</v>
      </c>
      <c r="L288" s="36">
        <f t="shared" si="284"/>
        <v>73.03</v>
      </c>
      <c r="M288" s="37">
        <v>1.6E-2</v>
      </c>
      <c r="N288" s="37">
        <f t="shared" si="285"/>
        <v>0.42345599999999994</v>
      </c>
      <c r="O288" s="35">
        <f t="shared" si="286"/>
        <v>30.924991679999998</v>
      </c>
      <c r="P288" s="38">
        <f t="shared" si="266"/>
        <v>32.248291680000001</v>
      </c>
      <c r="Q288" s="39"/>
    </row>
    <row r="289" spans="1:17" x14ac:dyDescent="0.25">
      <c r="A289" s="122" t="str">
        <f>IF(TRIM(G289)&lt;&gt;"",COUNTA(G$9:$G289)&amp;"","")</f>
        <v>223</v>
      </c>
      <c r="B289" s="123" t="s">
        <v>609</v>
      </c>
      <c r="C289" s="123" t="s">
        <v>609</v>
      </c>
      <c r="D289" s="50"/>
      <c r="E289" s="211" t="s">
        <v>623</v>
      </c>
      <c r="F289" s="193">
        <v>34.979999999999997</v>
      </c>
      <c r="G289" s="193" t="s">
        <v>228</v>
      </c>
      <c r="H289" s="33"/>
      <c r="I289" s="82"/>
      <c r="J289" s="34"/>
      <c r="K289" s="35"/>
      <c r="L289" s="36"/>
      <c r="M289" s="37"/>
      <c r="N289" s="37"/>
      <c r="O289" s="35"/>
      <c r="P289" s="38">
        <f t="shared" si="266"/>
        <v>0</v>
      </c>
      <c r="Q289" s="39"/>
    </row>
    <row r="290" spans="1:17" ht="30" x14ac:dyDescent="0.25">
      <c r="A290" s="122" t="str">
        <f>IF(TRIM(G290)&lt;&gt;"",COUNTA(G$9:$G290)&amp;"","")</f>
        <v>224</v>
      </c>
      <c r="B290" s="123" t="s">
        <v>609</v>
      </c>
      <c r="C290" s="123" t="s">
        <v>609</v>
      </c>
      <c r="D290" s="50"/>
      <c r="E290" s="111" t="s">
        <v>624</v>
      </c>
      <c r="F290" s="124">
        <f>F289</f>
        <v>34.979999999999997</v>
      </c>
      <c r="G290" s="125" t="s">
        <v>228</v>
      </c>
      <c r="H290" s="33">
        <v>0.1</v>
      </c>
      <c r="I290" s="82">
        <f t="shared" ref="I290:I295" si="287">IF(F290=0,"",F290+(F290*H290))</f>
        <v>38.477999999999994</v>
      </c>
      <c r="J290" s="34">
        <f>9.61/10*10</f>
        <v>9.61</v>
      </c>
      <c r="K290" s="35">
        <f t="shared" ref="K290:K295" si="288">IF(F290=0,"",J290*I290)</f>
        <v>369.77357999999992</v>
      </c>
      <c r="L290" s="36">
        <f t="shared" ref="L290:L295" si="289">IF(F290=0,"",L$14)</f>
        <v>73.03</v>
      </c>
      <c r="M290" s="37">
        <f>0.16/10*10</f>
        <v>0.16</v>
      </c>
      <c r="N290" s="37">
        <f t="shared" ref="N290:N295" si="290">IF(F290=0,"",M290*I290)</f>
        <v>6.1564799999999993</v>
      </c>
      <c r="O290" s="35">
        <f t="shared" ref="O290:O295" si="291">IF(F290=0,"",N290*L290)</f>
        <v>449.60773439999997</v>
      </c>
      <c r="P290" s="38">
        <f t="shared" si="266"/>
        <v>819.38131439999984</v>
      </c>
      <c r="Q290" s="39"/>
    </row>
    <row r="291" spans="1:17" x14ac:dyDescent="0.25">
      <c r="A291" s="122" t="str">
        <f>IF(TRIM(G291)&lt;&gt;"",COUNTA(G$9:$G291)&amp;"","")</f>
        <v>225</v>
      </c>
      <c r="B291" s="123" t="s">
        <v>609</v>
      </c>
      <c r="C291" s="123" t="s">
        <v>609</v>
      </c>
      <c r="D291" s="50"/>
      <c r="E291" s="111" t="s">
        <v>612</v>
      </c>
      <c r="F291" s="124">
        <f>F289</f>
        <v>34.979999999999997</v>
      </c>
      <c r="G291" s="125" t="s">
        <v>228</v>
      </c>
      <c r="H291" s="33">
        <v>0.1</v>
      </c>
      <c r="I291" s="82">
        <f t="shared" si="287"/>
        <v>38.477999999999994</v>
      </c>
      <c r="J291" s="34">
        <v>1.51</v>
      </c>
      <c r="K291" s="35">
        <f t="shared" si="288"/>
        <v>58.101779999999991</v>
      </c>
      <c r="L291" s="36">
        <f t="shared" si="289"/>
        <v>73.03</v>
      </c>
      <c r="M291" s="37">
        <v>3.5999999999999997E-2</v>
      </c>
      <c r="N291" s="37">
        <f t="shared" si="290"/>
        <v>1.3852079999999998</v>
      </c>
      <c r="O291" s="35">
        <f t="shared" si="291"/>
        <v>101.16174023999999</v>
      </c>
      <c r="P291" s="38">
        <f t="shared" si="266"/>
        <v>159.26352023999999</v>
      </c>
      <c r="Q291" s="39"/>
    </row>
    <row r="292" spans="1:17" x14ac:dyDescent="0.25">
      <c r="A292" s="122" t="str">
        <f>IF(TRIM(G292)&lt;&gt;"",COUNTA(G$9:$G292)&amp;"","")</f>
        <v>226</v>
      </c>
      <c r="B292" s="123" t="s">
        <v>609</v>
      </c>
      <c r="C292" s="123" t="s">
        <v>609</v>
      </c>
      <c r="D292" s="50"/>
      <c r="E292" s="111" t="s">
        <v>613</v>
      </c>
      <c r="F292" s="124">
        <f>F289*9.33</f>
        <v>326.36339999999996</v>
      </c>
      <c r="G292" s="125" t="s">
        <v>214</v>
      </c>
      <c r="H292" s="33">
        <v>0.1</v>
      </c>
      <c r="I292" s="82">
        <f t="shared" si="287"/>
        <v>358.99973999999997</v>
      </c>
      <c r="J292" s="34">
        <v>0.54</v>
      </c>
      <c r="K292" s="35">
        <f t="shared" si="288"/>
        <v>193.85985959999999</v>
      </c>
      <c r="L292" s="36">
        <f t="shared" si="289"/>
        <v>73.03</v>
      </c>
      <c r="M292" s="37">
        <v>1.7000000000000001E-2</v>
      </c>
      <c r="N292" s="37">
        <f t="shared" si="290"/>
        <v>6.10299558</v>
      </c>
      <c r="O292" s="35">
        <f t="shared" si="291"/>
        <v>445.7017672074</v>
      </c>
      <c r="P292" s="38">
        <f t="shared" si="266"/>
        <v>639.56162680739999</v>
      </c>
      <c r="Q292" s="39"/>
    </row>
    <row r="293" spans="1:17" x14ac:dyDescent="0.25">
      <c r="A293" s="122" t="str">
        <f>IF(TRIM(G293)&lt;&gt;"",COUNTA(G$9:$G293)&amp;"","")</f>
        <v>227</v>
      </c>
      <c r="B293" s="123" t="s">
        <v>609</v>
      </c>
      <c r="C293" s="123" t="s">
        <v>609</v>
      </c>
      <c r="D293" s="50"/>
      <c r="E293" s="111" t="s">
        <v>614</v>
      </c>
      <c r="F293" s="124">
        <f>F289*9.33</f>
        <v>326.36339999999996</v>
      </c>
      <c r="G293" s="125" t="s">
        <v>214</v>
      </c>
      <c r="H293" s="33">
        <v>0.1</v>
      </c>
      <c r="I293" s="82">
        <f t="shared" si="287"/>
        <v>358.99973999999997</v>
      </c>
      <c r="J293" s="34">
        <v>0.69</v>
      </c>
      <c r="K293" s="35">
        <f t="shared" si="288"/>
        <v>247.70982059999997</v>
      </c>
      <c r="L293" s="36">
        <f t="shared" si="289"/>
        <v>73.03</v>
      </c>
      <c r="M293" s="37">
        <v>1.4E-2</v>
      </c>
      <c r="N293" s="37">
        <f t="shared" si="290"/>
        <v>5.0259963599999997</v>
      </c>
      <c r="O293" s="35">
        <f t="shared" si="291"/>
        <v>367.04851417079999</v>
      </c>
      <c r="P293" s="38">
        <f t="shared" si="266"/>
        <v>614.75833477079993</v>
      </c>
      <c r="Q293" s="39"/>
    </row>
    <row r="294" spans="1:17" x14ac:dyDescent="0.25">
      <c r="A294" s="122" t="str">
        <f>IF(TRIM(G294)&lt;&gt;"",COUNTA(G$9:$G294)&amp;"","")</f>
        <v>228</v>
      </c>
      <c r="B294" s="123" t="s">
        <v>609</v>
      </c>
      <c r="C294" s="123" t="s">
        <v>609</v>
      </c>
      <c r="D294" s="50"/>
      <c r="E294" s="111" t="s">
        <v>615</v>
      </c>
      <c r="F294" s="124">
        <f>F289*9.33</f>
        <v>326.36339999999996</v>
      </c>
      <c r="G294" s="125" t="s">
        <v>214</v>
      </c>
      <c r="H294" s="33">
        <v>0.1</v>
      </c>
      <c r="I294" s="82">
        <f t="shared" si="287"/>
        <v>358.99973999999997</v>
      </c>
      <c r="J294" s="34">
        <v>2.4</v>
      </c>
      <c r="K294" s="35">
        <f t="shared" si="288"/>
        <v>861.59937599999989</v>
      </c>
      <c r="L294" s="36">
        <f t="shared" si="289"/>
        <v>73.03</v>
      </c>
      <c r="M294" s="37">
        <v>5.0000000000000001E-3</v>
      </c>
      <c r="N294" s="37">
        <f t="shared" si="290"/>
        <v>1.7949986999999998</v>
      </c>
      <c r="O294" s="35">
        <f t="shared" si="291"/>
        <v>131.088755061</v>
      </c>
      <c r="P294" s="38">
        <f t="shared" si="266"/>
        <v>992.68813106099992</v>
      </c>
      <c r="Q294" s="39"/>
    </row>
    <row r="295" spans="1:17" x14ac:dyDescent="0.25">
      <c r="A295" s="122" t="str">
        <f>IF(TRIM(G295)&lt;&gt;"",COUNTA(G$9:$G295)&amp;"","")</f>
        <v>229</v>
      </c>
      <c r="B295" s="123" t="s">
        <v>609</v>
      </c>
      <c r="C295" s="123" t="s">
        <v>609</v>
      </c>
      <c r="D295" s="50"/>
      <c r="E295" s="111" t="s">
        <v>706</v>
      </c>
      <c r="F295" s="124">
        <f>F289*2</f>
        <v>69.959999999999994</v>
      </c>
      <c r="G295" s="125" t="s">
        <v>228</v>
      </c>
      <c r="H295" s="33">
        <v>0.1</v>
      </c>
      <c r="I295" s="82">
        <f t="shared" si="287"/>
        <v>76.955999999999989</v>
      </c>
      <c r="J295" s="34">
        <v>0.05</v>
      </c>
      <c r="K295" s="35">
        <f t="shared" si="288"/>
        <v>3.8477999999999994</v>
      </c>
      <c r="L295" s="36">
        <f t="shared" si="289"/>
        <v>73.03</v>
      </c>
      <c r="M295" s="37">
        <v>1.6E-2</v>
      </c>
      <c r="N295" s="37">
        <f t="shared" si="290"/>
        <v>1.2312959999999999</v>
      </c>
      <c r="O295" s="35">
        <f t="shared" si="291"/>
        <v>89.921546879999994</v>
      </c>
      <c r="P295" s="38">
        <f t="shared" si="266"/>
        <v>93.769346880000001</v>
      </c>
      <c r="Q295" s="39"/>
    </row>
    <row r="296" spans="1:17" x14ac:dyDescent="0.25">
      <c r="A296" s="122" t="str">
        <f>IF(TRIM(G296)&lt;&gt;"",COUNTA(G$9:$G296)&amp;"","")</f>
        <v>230</v>
      </c>
      <c r="B296" s="123" t="s">
        <v>609</v>
      </c>
      <c r="C296" s="123" t="s">
        <v>609</v>
      </c>
      <c r="D296" s="50"/>
      <c r="E296" s="211" t="s">
        <v>625</v>
      </c>
      <c r="F296" s="193">
        <v>47.81</v>
      </c>
      <c r="G296" s="193" t="s">
        <v>228</v>
      </c>
      <c r="H296" s="33"/>
      <c r="I296" s="82"/>
      <c r="J296" s="34"/>
      <c r="K296" s="35"/>
      <c r="L296" s="36"/>
      <c r="M296" s="37"/>
      <c r="N296" s="37"/>
      <c r="O296" s="35"/>
      <c r="P296" s="38">
        <f t="shared" si="266"/>
        <v>0</v>
      </c>
      <c r="Q296" s="39"/>
    </row>
    <row r="297" spans="1:17" ht="30" x14ac:dyDescent="0.25">
      <c r="A297" s="122" t="str">
        <f>IF(TRIM(G297)&lt;&gt;"",COUNTA(G$9:$G297)&amp;"","")</f>
        <v>231</v>
      </c>
      <c r="B297" s="123" t="s">
        <v>609</v>
      </c>
      <c r="C297" s="123" t="s">
        <v>609</v>
      </c>
      <c r="D297" s="50"/>
      <c r="E297" s="111" t="s">
        <v>626</v>
      </c>
      <c r="F297" s="124">
        <f>F296</f>
        <v>47.81</v>
      </c>
      <c r="G297" s="125" t="s">
        <v>228</v>
      </c>
      <c r="H297" s="33">
        <v>0.1</v>
      </c>
      <c r="I297" s="82">
        <f t="shared" ref="I297:I300" si="292">IF(F297=0,"",F297+(F297*H297))</f>
        <v>52.591000000000001</v>
      </c>
      <c r="J297" s="34">
        <f>(14.34/10)*14</f>
        <v>20.076000000000001</v>
      </c>
      <c r="K297" s="35">
        <f t="shared" ref="K297:K300" si="293">IF(F297=0,"",J297*I297)</f>
        <v>1055.816916</v>
      </c>
      <c r="L297" s="36">
        <f t="shared" ref="L297:L300" si="294">IF(F297=0,"",L$14)</f>
        <v>73.03</v>
      </c>
      <c r="M297" s="37">
        <f>(0.178/10)*14</f>
        <v>0.2492</v>
      </c>
      <c r="N297" s="37">
        <f t="shared" ref="N297:N300" si="295">IF(F297=0,"",M297*I297)</f>
        <v>13.105677200000001</v>
      </c>
      <c r="O297" s="35">
        <f t="shared" ref="O297:O300" si="296">IF(F297=0,"",N297*L297)</f>
        <v>957.10760591600001</v>
      </c>
      <c r="P297" s="38">
        <f t="shared" si="266"/>
        <v>2012.924521916</v>
      </c>
      <c r="Q297" s="39"/>
    </row>
    <row r="298" spans="1:17" x14ac:dyDescent="0.25">
      <c r="A298" s="122" t="str">
        <f>IF(TRIM(G298)&lt;&gt;"",COUNTA(G$9:$G298)&amp;"","")</f>
        <v>232</v>
      </c>
      <c r="B298" s="123" t="s">
        <v>609</v>
      </c>
      <c r="C298" s="123" t="s">
        <v>609</v>
      </c>
      <c r="D298" s="50"/>
      <c r="E298" s="111" t="s">
        <v>612</v>
      </c>
      <c r="F298" s="124">
        <f>F296</f>
        <v>47.81</v>
      </c>
      <c r="G298" s="125" t="s">
        <v>228</v>
      </c>
      <c r="H298" s="33">
        <v>0.1</v>
      </c>
      <c r="I298" s="82">
        <f t="shared" si="292"/>
        <v>52.591000000000001</v>
      </c>
      <c r="J298" s="34">
        <v>1.51</v>
      </c>
      <c r="K298" s="35">
        <f t="shared" si="293"/>
        <v>79.412410000000008</v>
      </c>
      <c r="L298" s="36">
        <f t="shared" si="294"/>
        <v>73.03</v>
      </c>
      <c r="M298" s="37">
        <v>3.5999999999999997E-2</v>
      </c>
      <c r="N298" s="37">
        <f t="shared" si="295"/>
        <v>1.893276</v>
      </c>
      <c r="O298" s="35">
        <f t="shared" si="296"/>
        <v>138.26594628000001</v>
      </c>
      <c r="P298" s="38">
        <f t="shared" si="266"/>
        <v>217.67835628</v>
      </c>
      <c r="Q298" s="39"/>
    </row>
    <row r="299" spans="1:17" x14ac:dyDescent="0.25">
      <c r="A299" s="122" t="str">
        <f>IF(TRIM(G299)&lt;&gt;"",COUNTA(G$9:$G299)&amp;"","")</f>
        <v>233</v>
      </c>
      <c r="B299" s="123" t="s">
        <v>609</v>
      </c>
      <c r="C299" s="123" t="s">
        <v>609</v>
      </c>
      <c r="D299" s="50"/>
      <c r="E299" s="111" t="s">
        <v>627</v>
      </c>
      <c r="F299" s="124">
        <f>F296*13.75*2</f>
        <v>1314.7750000000001</v>
      </c>
      <c r="G299" s="125" t="s">
        <v>214</v>
      </c>
      <c r="H299" s="33">
        <v>0.1</v>
      </c>
      <c r="I299" s="82">
        <f t="shared" si="292"/>
        <v>1446.2525000000001</v>
      </c>
      <c r="J299" s="34">
        <v>0.54</v>
      </c>
      <c r="K299" s="35">
        <f t="shared" si="293"/>
        <v>780.97635000000002</v>
      </c>
      <c r="L299" s="36">
        <f t="shared" si="294"/>
        <v>73.03</v>
      </c>
      <c r="M299" s="37">
        <v>1.7000000000000001E-2</v>
      </c>
      <c r="N299" s="37">
        <f t="shared" si="295"/>
        <v>24.586292500000003</v>
      </c>
      <c r="O299" s="35">
        <f t="shared" si="296"/>
        <v>1795.5369412750001</v>
      </c>
      <c r="P299" s="38">
        <f t="shared" si="266"/>
        <v>2576.513291275</v>
      </c>
      <c r="Q299" s="39"/>
    </row>
    <row r="300" spans="1:17" x14ac:dyDescent="0.25">
      <c r="A300" s="122" t="str">
        <f>IF(TRIM(G300)&lt;&gt;"",COUNTA(G$9:$G300)&amp;"","")</f>
        <v>234</v>
      </c>
      <c r="B300" s="123" t="s">
        <v>609</v>
      </c>
      <c r="C300" s="123" t="s">
        <v>609</v>
      </c>
      <c r="D300" s="50"/>
      <c r="E300" s="111" t="s">
        <v>706</v>
      </c>
      <c r="F300" s="124">
        <f>F296*4</f>
        <v>191.24</v>
      </c>
      <c r="G300" s="125" t="s">
        <v>228</v>
      </c>
      <c r="H300" s="33">
        <v>0.1</v>
      </c>
      <c r="I300" s="82">
        <f t="shared" si="292"/>
        <v>210.364</v>
      </c>
      <c r="J300" s="34">
        <v>0.05</v>
      </c>
      <c r="K300" s="35">
        <f t="shared" si="293"/>
        <v>10.5182</v>
      </c>
      <c r="L300" s="36">
        <f t="shared" si="294"/>
        <v>73.03</v>
      </c>
      <c r="M300" s="37">
        <v>1.6E-2</v>
      </c>
      <c r="N300" s="37">
        <f t="shared" si="295"/>
        <v>3.3658239999999999</v>
      </c>
      <c r="O300" s="35">
        <f t="shared" si="296"/>
        <v>245.80612672000001</v>
      </c>
      <c r="P300" s="38">
        <f t="shared" si="266"/>
        <v>256.32432671999999</v>
      </c>
      <c r="Q300" s="39"/>
    </row>
    <row r="301" spans="1:17" x14ac:dyDescent="0.25">
      <c r="A301" s="122" t="str">
        <f>IF(TRIM(G301)&lt;&gt;"",COUNTA(G$9:$G301)&amp;"","")</f>
        <v>235</v>
      </c>
      <c r="B301" s="123" t="s">
        <v>609</v>
      </c>
      <c r="C301" s="123" t="s">
        <v>609</v>
      </c>
      <c r="D301" s="50"/>
      <c r="E301" s="211" t="s">
        <v>628</v>
      </c>
      <c r="F301" s="193">
        <v>51.51</v>
      </c>
      <c r="G301" s="193" t="s">
        <v>228</v>
      </c>
      <c r="H301" s="33"/>
      <c r="I301" s="82"/>
      <c r="J301" s="34"/>
      <c r="K301" s="35"/>
      <c r="L301" s="36"/>
      <c r="M301" s="37"/>
      <c r="N301" s="37"/>
      <c r="O301" s="35"/>
      <c r="P301" s="38">
        <f t="shared" si="266"/>
        <v>0</v>
      </c>
      <c r="Q301" s="39"/>
    </row>
    <row r="302" spans="1:17" ht="30" x14ac:dyDescent="0.25">
      <c r="A302" s="122" t="str">
        <f>IF(TRIM(G302)&lt;&gt;"",COUNTA(G$9:$G302)&amp;"","")</f>
        <v>236</v>
      </c>
      <c r="B302" s="123" t="s">
        <v>609</v>
      </c>
      <c r="C302" s="123" t="s">
        <v>609</v>
      </c>
      <c r="D302" s="50"/>
      <c r="E302" s="111" t="s">
        <v>629</v>
      </c>
      <c r="F302" s="124">
        <f>F301</f>
        <v>51.51</v>
      </c>
      <c r="G302" s="125" t="s">
        <v>228</v>
      </c>
      <c r="H302" s="33">
        <v>0.1</v>
      </c>
      <c r="I302" s="82">
        <f t="shared" ref="I302:I304" si="297">IF(F302=0,"",F302+(F302*H302))</f>
        <v>56.661000000000001</v>
      </c>
      <c r="J302" s="34">
        <f>(14.34/10)*8</f>
        <v>11.472</v>
      </c>
      <c r="K302" s="35">
        <f t="shared" ref="K302:K304" si="298">IF(F302=0,"",J302*I302)</f>
        <v>650.01499200000001</v>
      </c>
      <c r="L302" s="36">
        <f t="shared" ref="L302:L304" si="299">IF(F302=0,"",L$14)</f>
        <v>73.03</v>
      </c>
      <c r="M302" s="37">
        <f>(0.178/10)*8</f>
        <v>0.1424</v>
      </c>
      <c r="N302" s="37">
        <f t="shared" ref="N302:N304" si="300">IF(F302=0,"",M302*I302)</f>
        <v>8.0685263999999997</v>
      </c>
      <c r="O302" s="35">
        <f t="shared" ref="O302:O304" si="301">IF(F302=0,"",N302*L302)</f>
        <v>589.24448299200003</v>
      </c>
      <c r="P302" s="38">
        <f t="shared" si="266"/>
        <v>1239.2594749919999</v>
      </c>
      <c r="Q302" s="39"/>
    </row>
    <row r="303" spans="1:17" x14ac:dyDescent="0.25">
      <c r="A303" s="122" t="str">
        <f>IF(TRIM(G303)&lt;&gt;"",COUNTA(G$9:$G303)&amp;"","")</f>
        <v>237</v>
      </c>
      <c r="B303" s="123" t="s">
        <v>609</v>
      </c>
      <c r="C303" s="123" t="s">
        <v>609</v>
      </c>
      <c r="D303" s="50"/>
      <c r="E303" s="111" t="s">
        <v>627</v>
      </c>
      <c r="F303" s="124">
        <f>F301*8*2</f>
        <v>824.16</v>
      </c>
      <c r="G303" s="125" t="s">
        <v>214</v>
      </c>
      <c r="H303" s="33">
        <v>0.1</v>
      </c>
      <c r="I303" s="82">
        <f t="shared" si="297"/>
        <v>906.57600000000002</v>
      </c>
      <c r="J303" s="34">
        <v>0.54</v>
      </c>
      <c r="K303" s="35">
        <f t="shared" si="298"/>
        <v>489.55104000000006</v>
      </c>
      <c r="L303" s="36">
        <f t="shared" si="299"/>
        <v>73.03</v>
      </c>
      <c r="M303" s="37">
        <v>1.7000000000000001E-2</v>
      </c>
      <c r="N303" s="37">
        <f t="shared" si="300"/>
        <v>15.411792000000002</v>
      </c>
      <c r="O303" s="35">
        <f t="shared" si="301"/>
        <v>1125.5231697600002</v>
      </c>
      <c r="P303" s="38">
        <f t="shared" si="266"/>
        <v>1615.0742097600003</v>
      </c>
      <c r="Q303" s="39"/>
    </row>
    <row r="304" spans="1:17" x14ac:dyDescent="0.25">
      <c r="A304" s="122" t="str">
        <f>IF(TRIM(G304)&lt;&gt;"",COUNTA(G$9:$G304)&amp;"","")</f>
        <v>238</v>
      </c>
      <c r="B304" s="123" t="s">
        <v>609</v>
      </c>
      <c r="C304" s="123" t="s">
        <v>609</v>
      </c>
      <c r="D304" s="50"/>
      <c r="E304" s="111" t="s">
        <v>706</v>
      </c>
      <c r="F304" s="124">
        <f>F301*4</f>
        <v>206.04</v>
      </c>
      <c r="G304" s="125" t="s">
        <v>228</v>
      </c>
      <c r="H304" s="33">
        <v>0.1</v>
      </c>
      <c r="I304" s="82">
        <f t="shared" si="297"/>
        <v>226.64400000000001</v>
      </c>
      <c r="J304" s="34">
        <v>0.05</v>
      </c>
      <c r="K304" s="35">
        <f t="shared" si="298"/>
        <v>11.3322</v>
      </c>
      <c r="L304" s="36">
        <f t="shared" si="299"/>
        <v>73.03</v>
      </c>
      <c r="M304" s="37">
        <v>1.6E-2</v>
      </c>
      <c r="N304" s="37">
        <f t="shared" si="300"/>
        <v>3.6263040000000002</v>
      </c>
      <c r="O304" s="35">
        <f t="shared" si="301"/>
        <v>264.82898112000004</v>
      </c>
      <c r="P304" s="38">
        <f t="shared" si="266"/>
        <v>276.16118112000004</v>
      </c>
      <c r="Q304" s="39"/>
    </row>
    <row r="305" spans="1:17" x14ac:dyDescent="0.25">
      <c r="A305" s="122" t="str">
        <f>IF(TRIM(G305)&lt;&gt;"",COUNTA(G$9:$G305)&amp;"","")</f>
        <v>239</v>
      </c>
      <c r="B305" s="123" t="s">
        <v>609</v>
      </c>
      <c r="C305" s="123" t="s">
        <v>609</v>
      </c>
      <c r="D305" s="50"/>
      <c r="E305" s="211" t="s">
        <v>630</v>
      </c>
      <c r="F305" s="193">
        <v>58.32</v>
      </c>
      <c r="G305" s="193" t="s">
        <v>228</v>
      </c>
      <c r="H305" s="33"/>
      <c r="I305" s="82"/>
      <c r="J305" s="34"/>
      <c r="K305" s="35"/>
      <c r="L305" s="36"/>
      <c r="M305" s="37"/>
      <c r="N305" s="37"/>
      <c r="O305" s="35"/>
      <c r="P305" s="38">
        <f t="shared" si="266"/>
        <v>0</v>
      </c>
      <c r="Q305" s="39"/>
    </row>
    <row r="306" spans="1:17" ht="30" x14ac:dyDescent="0.25">
      <c r="A306" s="122" t="str">
        <f>IF(TRIM(G306)&lt;&gt;"",COUNTA(G$9:$G306)&amp;"","")</f>
        <v>240</v>
      </c>
      <c r="B306" s="123" t="s">
        <v>609</v>
      </c>
      <c r="C306" s="123" t="s">
        <v>609</v>
      </c>
      <c r="D306" s="50"/>
      <c r="E306" s="111" t="s">
        <v>631</v>
      </c>
      <c r="F306" s="124">
        <f>F305</f>
        <v>58.32</v>
      </c>
      <c r="G306" s="125" t="s">
        <v>228</v>
      </c>
      <c r="H306" s="33">
        <v>0.1</v>
      </c>
      <c r="I306" s="82">
        <f t="shared" ref="I306:I308" si="302">IF(F306=0,"",F306+(F306*H306))</f>
        <v>64.152000000000001</v>
      </c>
      <c r="J306" s="34">
        <f>(14.34/10)*8</f>
        <v>11.472</v>
      </c>
      <c r="K306" s="35">
        <f t="shared" ref="K306:K308" si="303">IF(F306=0,"",J306*I306)</f>
        <v>735.95174399999996</v>
      </c>
      <c r="L306" s="36">
        <f t="shared" ref="L306:L308" si="304">IF(F306=0,"",L$14)</f>
        <v>73.03</v>
      </c>
      <c r="M306" s="37">
        <f>(0.178/10)*8</f>
        <v>0.1424</v>
      </c>
      <c r="N306" s="37">
        <f t="shared" ref="N306:N308" si="305">IF(F306=0,"",M306*I306)</f>
        <v>9.1352448000000006</v>
      </c>
      <c r="O306" s="35">
        <f t="shared" ref="O306:O308" si="306">IF(F306=0,"",N306*L306)</f>
        <v>667.1469277440001</v>
      </c>
      <c r="P306" s="38">
        <f t="shared" si="266"/>
        <v>1403.0986717440001</v>
      </c>
      <c r="Q306" s="39"/>
    </row>
    <row r="307" spans="1:17" x14ac:dyDescent="0.25">
      <c r="A307" s="122" t="str">
        <f>IF(TRIM(G307)&lt;&gt;"",COUNTA(G$9:$G307)&amp;"","")</f>
        <v>241</v>
      </c>
      <c r="B307" s="123" t="s">
        <v>609</v>
      </c>
      <c r="C307" s="123" t="s">
        <v>609</v>
      </c>
      <c r="D307" s="50"/>
      <c r="E307" s="111" t="s">
        <v>627</v>
      </c>
      <c r="F307" s="124">
        <f>F305*8*2</f>
        <v>933.12</v>
      </c>
      <c r="G307" s="125" t="s">
        <v>214</v>
      </c>
      <c r="H307" s="33">
        <v>0.1</v>
      </c>
      <c r="I307" s="82">
        <f t="shared" si="302"/>
        <v>1026.432</v>
      </c>
      <c r="J307" s="34">
        <v>0.54</v>
      </c>
      <c r="K307" s="35">
        <f t="shared" si="303"/>
        <v>554.27328</v>
      </c>
      <c r="L307" s="36">
        <f t="shared" si="304"/>
        <v>73.03</v>
      </c>
      <c r="M307" s="37">
        <v>1.7000000000000001E-2</v>
      </c>
      <c r="N307" s="37">
        <f t="shared" si="305"/>
        <v>17.449344</v>
      </c>
      <c r="O307" s="35">
        <f t="shared" si="306"/>
        <v>1274.3255923199999</v>
      </c>
      <c r="P307" s="38">
        <f t="shared" si="266"/>
        <v>1828.5988723199998</v>
      </c>
      <c r="Q307" s="39"/>
    </row>
    <row r="308" spans="1:17" x14ac:dyDescent="0.25">
      <c r="A308" s="122" t="str">
        <f>IF(TRIM(G308)&lt;&gt;"",COUNTA(G$9:$G308)&amp;"","")</f>
        <v>242</v>
      </c>
      <c r="B308" s="123" t="s">
        <v>609</v>
      </c>
      <c r="C308" s="123" t="s">
        <v>609</v>
      </c>
      <c r="D308" s="50"/>
      <c r="E308" s="111" t="s">
        <v>706</v>
      </c>
      <c r="F308" s="124">
        <f>F305*4</f>
        <v>233.28</v>
      </c>
      <c r="G308" s="125" t="s">
        <v>228</v>
      </c>
      <c r="H308" s="33">
        <v>0.1</v>
      </c>
      <c r="I308" s="82">
        <f t="shared" si="302"/>
        <v>256.608</v>
      </c>
      <c r="J308" s="34">
        <v>0.05</v>
      </c>
      <c r="K308" s="35">
        <f t="shared" si="303"/>
        <v>12.830400000000001</v>
      </c>
      <c r="L308" s="36">
        <f t="shared" si="304"/>
        <v>73.03</v>
      </c>
      <c r="M308" s="37">
        <v>1.6E-2</v>
      </c>
      <c r="N308" s="37">
        <f t="shared" si="305"/>
        <v>4.105728</v>
      </c>
      <c r="O308" s="35">
        <f t="shared" si="306"/>
        <v>299.84131583999999</v>
      </c>
      <c r="P308" s="38">
        <f t="shared" si="266"/>
        <v>312.67171583999999</v>
      </c>
      <c r="Q308" s="39"/>
    </row>
    <row r="309" spans="1:17" x14ac:dyDescent="0.25">
      <c r="A309" s="122" t="str">
        <f>IF(TRIM(G309)&lt;&gt;"",COUNTA(G$9:$G309)&amp;"","")</f>
        <v>243</v>
      </c>
      <c r="B309" s="123" t="s">
        <v>609</v>
      </c>
      <c r="C309" s="123" t="s">
        <v>609</v>
      </c>
      <c r="D309" s="50"/>
      <c r="E309" s="211" t="s">
        <v>632</v>
      </c>
      <c r="F309" s="193">
        <v>4.78</v>
      </c>
      <c r="G309" s="193" t="s">
        <v>228</v>
      </c>
      <c r="H309" s="33"/>
      <c r="I309" s="82"/>
      <c r="J309" s="34"/>
      <c r="K309" s="35"/>
      <c r="L309" s="36"/>
      <c r="M309" s="37"/>
      <c r="N309" s="37"/>
      <c r="O309" s="35"/>
      <c r="P309" s="38">
        <f t="shared" si="266"/>
        <v>0</v>
      </c>
      <c r="Q309" s="39"/>
    </row>
    <row r="310" spans="1:17" ht="30" x14ac:dyDescent="0.25">
      <c r="A310" s="122" t="str">
        <f>IF(TRIM(G310)&lt;&gt;"",COUNTA(G$9:$G310)&amp;"","")</f>
        <v>244</v>
      </c>
      <c r="B310" s="123" t="s">
        <v>609</v>
      </c>
      <c r="C310" s="123" t="s">
        <v>609</v>
      </c>
      <c r="D310" s="50"/>
      <c r="E310" s="111" t="s">
        <v>752</v>
      </c>
      <c r="F310" s="124">
        <f>F309</f>
        <v>4.78</v>
      </c>
      <c r="G310" s="125" t="s">
        <v>228</v>
      </c>
      <c r="H310" s="33">
        <v>0.1</v>
      </c>
      <c r="I310" s="82">
        <f t="shared" ref="I310:I313" si="307">IF(F310=0,"",F310+(F310*H310))</f>
        <v>5.258</v>
      </c>
      <c r="J310" s="34">
        <f>(14.34/10)*12</f>
        <v>17.207999999999998</v>
      </c>
      <c r="K310" s="35">
        <f t="shared" ref="K310:K313" si="308">IF(F310=0,"",J310*I310)</f>
        <v>90.479663999999985</v>
      </c>
      <c r="L310" s="36">
        <f t="shared" ref="L310:L313" si="309">IF(F310=0,"",L$14)</f>
        <v>73.03</v>
      </c>
      <c r="M310" s="37">
        <f>(0.178/10)*12</f>
        <v>0.21360000000000001</v>
      </c>
      <c r="N310" s="37">
        <f t="shared" ref="N310:N313" si="310">IF(F310=0,"",M310*I310)</f>
        <v>1.1231088</v>
      </c>
      <c r="O310" s="35">
        <f t="shared" ref="O310:O313" si="311">IF(F310=0,"",N310*L310)</f>
        <v>82.020635663999997</v>
      </c>
      <c r="P310" s="38">
        <f t="shared" si="266"/>
        <v>172.50029966399998</v>
      </c>
      <c r="Q310" s="39"/>
    </row>
    <row r="311" spans="1:17" x14ac:dyDescent="0.25">
      <c r="A311" s="122" t="str">
        <f>IF(TRIM(G311)&lt;&gt;"",COUNTA(G$9:$G311)&amp;"","")</f>
        <v>245</v>
      </c>
      <c r="B311" s="123" t="s">
        <v>609</v>
      </c>
      <c r="C311" s="123" t="s">
        <v>609</v>
      </c>
      <c r="D311" s="50"/>
      <c r="E311" s="111" t="s">
        <v>612</v>
      </c>
      <c r="F311" s="124">
        <f>F309</f>
        <v>4.78</v>
      </c>
      <c r="G311" s="125" t="s">
        <v>228</v>
      </c>
      <c r="H311" s="33">
        <v>0.1</v>
      </c>
      <c r="I311" s="82">
        <f t="shared" si="307"/>
        <v>5.258</v>
      </c>
      <c r="J311" s="34">
        <v>1.51</v>
      </c>
      <c r="K311" s="35">
        <f t="shared" si="308"/>
        <v>7.9395800000000003</v>
      </c>
      <c r="L311" s="36">
        <f t="shared" si="309"/>
        <v>73.03</v>
      </c>
      <c r="M311" s="37">
        <v>3.5999999999999997E-2</v>
      </c>
      <c r="N311" s="37">
        <f t="shared" si="310"/>
        <v>0.18928799999999998</v>
      </c>
      <c r="O311" s="35">
        <f t="shared" si="311"/>
        <v>13.823702639999999</v>
      </c>
      <c r="P311" s="38">
        <f t="shared" si="266"/>
        <v>21.76328264</v>
      </c>
      <c r="Q311" s="39"/>
    </row>
    <row r="312" spans="1:17" x14ac:dyDescent="0.25">
      <c r="A312" s="122" t="str">
        <f>IF(TRIM(G312)&lt;&gt;"",COUNTA(G$9:$G312)&amp;"","")</f>
        <v>246</v>
      </c>
      <c r="B312" s="123" t="s">
        <v>609</v>
      </c>
      <c r="C312" s="123" t="s">
        <v>609</v>
      </c>
      <c r="D312" s="50"/>
      <c r="E312" s="111" t="s">
        <v>627</v>
      </c>
      <c r="F312" s="124">
        <f>F309*11.75*2</f>
        <v>112.33000000000001</v>
      </c>
      <c r="G312" s="125" t="s">
        <v>214</v>
      </c>
      <c r="H312" s="33">
        <v>0.1</v>
      </c>
      <c r="I312" s="82">
        <f t="shared" si="307"/>
        <v>123.56300000000002</v>
      </c>
      <c r="J312" s="34">
        <v>0.54</v>
      </c>
      <c r="K312" s="35">
        <f t="shared" si="308"/>
        <v>66.72402000000001</v>
      </c>
      <c r="L312" s="36">
        <f t="shared" si="309"/>
        <v>73.03</v>
      </c>
      <c r="M312" s="37">
        <v>1.7000000000000001E-2</v>
      </c>
      <c r="N312" s="37">
        <f t="shared" si="310"/>
        <v>2.1005710000000004</v>
      </c>
      <c r="O312" s="35">
        <f t="shared" si="311"/>
        <v>153.40470013000004</v>
      </c>
      <c r="P312" s="38">
        <f t="shared" si="266"/>
        <v>220.12872013000003</v>
      </c>
      <c r="Q312" s="39"/>
    </row>
    <row r="313" spans="1:17" x14ac:dyDescent="0.25">
      <c r="A313" s="122" t="str">
        <f>IF(TRIM(G313)&lt;&gt;"",COUNTA(G$9:$G313)&amp;"","")</f>
        <v>247</v>
      </c>
      <c r="B313" s="123" t="s">
        <v>609</v>
      </c>
      <c r="C313" s="123" t="s">
        <v>609</v>
      </c>
      <c r="D313" s="50"/>
      <c r="E313" s="111" t="s">
        <v>706</v>
      </c>
      <c r="F313" s="124">
        <f>F309*4</f>
        <v>19.12</v>
      </c>
      <c r="G313" s="125" t="s">
        <v>228</v>
      </c>
      <c r="H313" s="33">
        <v>0.1</v>
      </c>
      <c r="I313" s="82">
        <f t="shared" si="307"/>
        <v>21.032</v>
      </c>
      <c r="J313" s="34">
        <v>0.05</v>
      </c>
      <c r="K313" s="35">
        <f t="shared" si="308"/>
        <v>1.0516000000000001</v>
      </c>
      <c r="L313" s="36">
        <f t="shared" si="309"/>
        <v>73.03</v>
      </c>
      <c r="M313" s="37">
        <v>1.6E-2</v>
      </c>
      <c r="N313" s="37">
        <f t="shared" si="310"/>
        <v>0.33651200000000003</v>
      </c>
      <c r="O313" s="35">
        <f t="shared" si="311"/>
        <v>24.575471360000002</v>
      </c>
      <c r="P313" s="38">
        <f t="shared" si="266"/>
        <v>25.627071360000002</v>
      </c>
      <c r="Q313" s="39"/>
    </row>
    <row r="314" spans="1:17" x14ac:dyDescent="0.25">
      <c r="A314" s="122" t="str">
        <f>IF(TRIM(G314)&lt;&gt;"",COUNTA(G$9:$G314)&amp;"","")</f>
        <v>248</v>
      </c>
      <c r="B314" s="123" t="s">
        <v>609</v>
      </c>
      <c r="C314" s="123" t="s">
        <v>609</v>
      </c>
      <c r="D314" s="50"/>
      <c r="E314" s="211" t="s">
        <v>633</v>
      </c>
      <c r="F314" s="193">
        <v>57.59</v>
      </c>
      <c r="G314" s="193" t="s">
        <v>228</v>
      </c>
      <c r="H314" s="33"/>
      <c r="I314" s="82"/>
      <c r="J314" s="34"/>
      <c r="K314" s="35"/>
      <c r="L314" s="36"/>
      <c r="M314" s="37"/>
      <c r="N314" s="37"/>
      <c r="O314" s="35"/>
      <c r="P314" s="38">
        <f t="shared" si="266"/>
        <v>0</v>
      </c>
      <c r="Q314" s="39"/>
    </row>
    <row r="315" spans="1:17" ht="30" x14ac:dyDescent="0.25">
      <c r="A315" s="122" t="str">
        <f>IF(TRIM(G315)&lt;&gt;"",COUNTA(G$9:$G315)&amp;"","")</f>
        <v>249</v>
      </c>
      <c r="B315" s="123" t="s">
        <v>609</v>
      </c>
      <c r="C315" s="123" t="s">
        <v>609</v>
      </c>
      <c r="D315" s="50"/>
      <c r="E315" s="111" t="s">
        <v>634</v>
      </c>
      <c r="F315" s="124">
        <f>F314</f>
        <v>57.59</v>
      </c>
      <c r="G315" s="125" t="s">
        <v>228</v>
      </c>
      <c r="H315" s="33">
        <v>0.1</v>
      </c>
      <c r="I315" s="82">
        <f t="shared" ref="I315:I317" si="312">IF(F315=0,"",F315+(F315*H315))</f>
        <v>63.349000000000004</v>
      </c>
      <c r="J315" s="34">
        <f>(9.61/10)*4*2</f>
        <v>7.6879999999999997</v>
      </c>
      <c r="K315" s="35">
        <f t="shared" ref="K315:K317" si="313">IF(F315=0,"",J315*I315)</f>
        <v>487.02711199999999</v>
      </c>
      <c r="L315" s="36">
        <f t="shared" ref="L315:L317" si="314">IF(F315=0,"",L$14)</f>
        <v>73.03</v>
      </c>
      <c r="M315" s="37">
        <f>(0.16/10)*4*2</f>
        <v>0.128</v>
      </c>
      <c r="N315" s="37">
        <f t="shared" ref="N315:N317" si="315">IF(F315=0,"",M315*I315)</f>
        <v>8.1086720000000003</v>
      </c>
      <c r="O315" s="35">
        <f t="shared" ref="O315:O317" si="316">IF(F315=0,"",N315*L315)</f>
        <v>592.17631616000006</v>
      </c>
      <c r="P315" s="38">
        <f t="shared" si="266"/>
        <v>1079.2034281599999</v>
      </c>
      <c r="Q315" s="39"/>
    </row>
    <row r="316" spans="1:17" x14ac:dyDescent="0.25">
      <c r="A316" s="122" t="str">
        <f>IF(TRIM(G316)&lt;&gt;"",COUNTA(G$9:$G316)&amp;"","")</f>
        <v>250</v>
      </c>
      <c r="B316" s="123" t="s">
        <v>609</v>
      </c>
      <c r="C316" s="123" t="s">
        <v>609</v>
      </c>
      <c r="D316" s="50"/>
      <c r="E316" s="111" t="s">
        <v>620</v>
      </c>
      <c r="F316" s="124">
        <f>F314*4</f>
        <v>230.36</v>
      </c>
      <c r="G316" s="125" t="s">
        <v>214</v>
      </c>
      <c r="H316" s="33">
        <v>0.1</v>
      </c>
      <c r="I316" s="82">
        <f t="shared" si="312"/>
        <v>253.39600000000002</v>
      </c>
      <c r="J316" s="34">
        <v>0.68</v>
      </c>
      <c r="K316" s="35">
        <f t="shared" si="313"/>
        <v>172.30928000000003</v>
      </c>
      <c r="L316" s="36">
        <f t="shared" si="314"/>
        <v>73.03</v>
      </c>
      <c r="M316" s="37">
        <v>1.7000000000000001E-2</v>
      </c>
      <c r="N316" s="37">
        <f t="shared" si="315"/>
        <v>4.3077320000000006</v>
      </c>
      <c r="O316" s="35">
        <f t="shared" si="316"/>
        <v>314.59366796000006</v>
      </c>
      <c r="P316" s="38">
        <f t="shared" si="266"/>
        <v>486.90294796000012</v>
      </c>
      <c r="Q316" s="39"/>
    </row>
    <row r="317" spans="1:17" x14ac:dyDescent="0.25">
      <c r="A317" s="122" t="str">
        <f>IF(TRIM(G317)&lt;&gt;"",COUNTA(G$9:$G317)&amp;"","")</f>
        <v>251</v>
      </c>
      <c r="B317" s="123" t="s">
        <v>609</v>
      </c>
      <c r="C317" s="123" t="s">
        <v>609</v>
      </c>
      <c r="D317" s="50"/>
      <c r="E317" s="111" t="s">
        <v>706</v>
      </c>
      <c r="F317" s="124">
        <f>F314*4</f>
        <v>230.36</v>
      </c>
      <c r="G317" s="125" t="s">
        <v>228</v>
      </c>
      <c r="H317" s="33">
        <v>0.1</v>
      </c>
      <c r="I317" s="82">
        <f t="shared" si="312"/>
        <v>253.39600000000002</v>
      </c>
      <c r="J317" s="34">
        <v>0.05</v>
      </c>
      <c r="K317" s="35">
        <f t="shared" si="313"/>
        <v>12.669800000000002</v>
      </c>
      <c r="L317" s="36">
        <f t="shared" si="314"/>
        <v>73.03</v>
      </c>
      <c r="M317" s="37">
        <v>1.6E-2</v>
      </c>
      <c r="N317" s="37">
        <f t="shared" si="315"/>
        <v>4.0543360000000002</v>
      </c>
      <c r="O317" s="35">
        <f t="shared" si="316"/>
        <v>296.08815808000003</v>
      </c>
      <c r="P317" s="38">
        <f t="shared" si="266"/>
        <v>308.75795808000004</v>
      </c>
      <c r="Q317" s="39"/>
    </row>
    <row r="318" spans="1:17" x14ac:dyDescent="0.25">
      <c r="A318" s="122" t="str">
        <f>IF(TRIM(G318)&lt;&gt;"",COUNTA(G$9:$G318)&amp;"","")</f>
        <v>252</v>
      </c>
      <c r="B318" s="123" t="s">
        <v>609</v>
      </c>
      <c r="C318" s="123" t="s">
        <v>609</v>
      </c>
      <c r="D318" s="50"/>
      <c r="E318" s="211" t="s">
        <v>635</v>
      </c>
      <c r="F318" s="193">
        <v>24.68</v>
      </c>
      <c r="G318" s="193" t="s">
        <v>228</v>
      </c>
      <c r="H318" s="33"/>
      <c r="I318" s="82"/>
      <c r="J318" s="34"/>
      <c r="K318" s="35"/>
      <c r="L318" s="36"/>
      <c r="M318" s="37"/>
      <c r="N318" s="37"/>
      <c r="O318" s="35"/>
      <c r="P318" s="38">
        <f t="shared" si="266"/>
        <v>0</v>
      </c>
      <c r="Q318" s="39"/>
    </row>
    <row r="319" spans="1:17" ht="30" x14ac:dyDescent="0.25">
      <c r="A319" s="122" t="str">
        <f>IF(TRIM(G319)&lt;&gt;"",COUNTA(G$9:$G319)&amp;"","")</f>
        <v>253</v>
      </c>
      <c r="B319" s="123" t="s">
        <v>609</v>
      </c>
      <c r="C319" s="123" t="s">
        <v>609</v>
      </c>
      <c r="D319" s="50"/>
      <c r="E319" s="111" t="s">
        <v>636</v>
      </c>
      <c r="F319" s="124">
        <f>F318</f>
        <v>24.68</v>
      </c>
      <c r="G319" s="125" t="s">
        <v>228</v>
      </c>
      <c r="H319" s="33">
        <v>0.1</v>
      </c>
      <c r="I319" s="82">
        <f t="shared" ref="I319:I321" si="317">IF(F319=0,"",F319+(F319*H319))</f>
        <v>27.148</v>
      </c>
      <c r="J319" s="34">
        <f>(14.34/10)*10</f>
        <v>14.34</v>
      </c>
      <c r="K319" s="35">
        <f t="shared" ref="K319:K321" si="318">IF(F319=0,"",J319*I319)</f>
        <v>389.30232000000001</v>
      </c>
      <c r="L319" s="36">
        <f t="shared" ref="L319:L321" si="319">IF(F319=0,"",L$14)</f>
        <v>73.03</v>
      </c>
      <c r="M319" s="37">
        <f>(0.178/10)*10</f>
        <v>0.17799999999999999</v>
      </c>
      <c r="N319" s="37">
        <f t="shared" ref="N319:N321" si="320">IF(F319=0,"",M319*I319)</f>
        <v>4.832344</v>
      </c>
      <c r="O319" s="35">
        <f t="shared" ref="O319:O321" si="321">IF(F319=0,"",N319*L319)</f>
        <v>352.90608232</v>
      </c>
      <c r="P319" s="38">
        <f t="shared" si="266"/>
        <v>742.20840232</v>
      </c>
      <c r="Q319" s="39"/>
    </row>
    <row r="320" spans="1:17" x14ac:dyDescent="0.25">
      <c r="A320" s="122" t="str">
        <f>IF(TRIM(G320)&lt;&gt;"",COUNTA(G$9:$G320)&amp;"","")</f>
        <v>254</v>
      </c>
      <c r="B320" s="123" t="s">
        <v>609</v>
      </c>
      <c r="C320" s="123" t="s">
        <v>609</v>
      </c>
      <c r="D320" s="50"/>
      <c r="E320" s="111" t="s">
        <v>627</v>
      </c>
      <c r="F320" s="124">
        <f>F318*8.5*2</f>
        <v>419.56</v>
      </c>
      <c r="G320" s="125" t="s">
        <v>214</v>
      </c>
      <c r="H320" s="33">
        <v>0.1</v>
      </c>
      <c r="I320" s="82">
        <f t="shared" si="317"/>
        <v>461.51600000000002</v>
      </c>
      <c r="J320" s="34">
        <v>0.54</v>
      </c>
      <c r="K320" s="35">
        <f t="shared" si="318"/>
        <v>249.21864000000002</v>
      </c>
      <c r="L320" s="36">
        <f t="shared" si="319"/>
        <v>73.03</v>
      </c>
      <c r="M320" s="37">
        <v>1.7000000000000001E-2</v>
      </c>
      <c r="N320" s="37">
        <f t="shared" si="320"/>
        <v>7.8457720000000011</v>
      </c>
      <c r="O320" s="35">
        <f t="shared" si="321"/>
        <v>572.9767291600001</v>
      </c>
      <c r="P320" s="38">
        <f t="shared" si="266"/>
        <v>822.19536916000015</v>
      </c>
      <c r="Q320" s="39"/>
    </row>
    <row r="321" spans="1:17" x14ac:dyDescent="0.25">
      <c r="A321" s="122" t="str">
        <f>IF(TRIM(G321)&lt;&gt;"",COUNTA(G$9:$G321)&amp;"","")</f>
        <v>255</v>
      </c>
      <c r="B321" s="123" t="s">
        <v>609</v>
      </c>
      <c r="C321" s="123" t="s">
        <v>609</v>
      </c>
      <c r="D321" s="50"/>
      <c r="E321" s="111" t="s">
        <v>706</v>
      </c>
      <c r="F321" s="124">
        <f>F318*4</f>
        <v>98.72</v>
      </c>
      <c r="G321" s="125" t="s">
        <v>228</v>
      </c>
      <c r="H321" s="33">
        <v>0.1</v>
      </c>
      <c r="I321" s="82">
        <f t="shared" si="317"/>
        <v>108.592</v>
      </c>
      <c r="J321" s="34">
        <v>0.05</v>
      </c>
      <c r="K321" s="35">
        <f t="shared" si="318"/>
        <v>5.4296000000000006</v>
      </c>
      <c r="L321" s="36">
        <f t="shared" si="319"/>
        <v>73.03</v>
      </c>
      <c r="M321" s="37">
        <v>1.6E-2</v>
      </c>
      <c r="N321" s="37">
        <f t="shared" si="320"/>
        <v>1.7374719999999999</v>
      </c>
      <c r="O321" s="35">
        <f t="shared" si="321"/>
        <v>126.88758016</v>
      </c>
      <c r="P321" s="38">
        <f t="shared" si="266"/>
        <v>132.31718015999999</v>
      </c>
      <c r="Q321" s="39"/>
    </row>
    <row r="322" spans="1:17" x14ac:dyDescent="0.25">
      <c r="A322" s="122" t="str">
        <f>IF(TRIM(G322)&lt;&gt;"",COUNTA(G$9:$G322)&amp;"","")</f>
        <v>256</v>
      </c>
      <c r="B322" s="123" t="s">
        <v>609</v>
      </c>
      <c r="C322" s="123" t="s">
        <v>609</v>
      </c>
      <c r="D322" s="50"/>
      <c r="E322" s="211" t="s">
        <v>637</v>
      </c>
      <c r="F322" s="193">
        <v>5.51</v>
      </c>
      <c r="G322" s="193" t="s">
        <v>228</v>
      </c>
      <c r="H322" s="33"/>
      <c r="I322" s="82"/>
      <c r="J322" s="34"/>
      <c r="K322" s="35"/>
      <c r="L322" s="36"/>
      <c r="M322" s="37"/>
      <c r="N322" s="37"/>
      <c r="O322" s="35"/>
      <c r="P322" s="38">
        <f t="shared" si="266"/>
        <v>0</v>
      </c>
      <c r="Q322" s="39"/>
    </row>
    <row r="323" spans="1:17" ht="30" x14ac:dyDescent="0.25">
      <c r="A323" s="122" t="str">
        <f>IF(TRIM(G323)&lt;&gt;"",COUNTA(G$9:$G323)&amp;"","")</f>
        <v>257</v>
      </c>
      <c r="B323" s="123" t="s">
        <v>609</v>
      </c>
      <c r="C323" s="123" t="s">
        <v>609</v>
      </c>
      <c r="D323" s="50"/>
      <c r="E323" s="111" t="s">
        <v>638</v>
      </c>
      <c r="F323" s="124">
        <f>F322</f>
        <v>5.51</v>
      </c>
      <c r="G323" s="125" t="s">
        <v>228</v>
      </c>
      <c r="H323" s="33">
        <v>0.1</v>
      </c>
      <c r="I323" s="82">
        <f t="shared" ref="I323:I325" si="322">IF(F323=0,"",F323+(F323*H323))</f>
        <v>6.0609999999999999</v>
      </c>
      <c r="J323" s="34">
        <f>(9.61/10)*6</f>
        <v>5.766</v>
      </c>
      <c r="K323" s="35">
        <f t="shared" ref="K323:K325" si="323">IF(F323=0,"",J323*I323)</f>
        <v>34.947726000000003</v>
      </c>
      <c r="L323" s="36">
        <f t="shared" ref="L323:L325" si="324">IF(F323=0,"",L$14)</f>
        <v>73.03</v>
      </c>
      <c r="M323" s="37">
        <f>(0.16/10)*6</f>
        <v>9.6000000000000002E-2</v>
      </c>
      <c r="N323" s="37">
        <f t="shared" ref="N323:N325" si="325">IF(F323=0,"",M323*I323)</f>
        <v>0.58185600000000004</v>
      </c>
      <c r="O323" s="35">
        <f t="shared" ref="O323:O325" si="326">IF(F323=0,"",N323*L323)</f>
        <v>42.492943680000003</v>
      </c>
      <c r="P323" s="38">
        <f t="shared" si="266"/>
        <v>77.440669680000013</v>
      </c>
      <c r="Q323" s="39"/>
    </row>
    <row r="324" spans="1:17" x14ac:dyDescent="0.25">
      <c r="A324" s="122" t="str">
        <f>IF(TRIM(G324)&lt;&gt;"",COUNTA(G$9:$G324)&amp;"","")</f>
        <v>258</v>
      </c>
      <c r="B324" s="123" t="s">
        <v>609</v>
      </c>
      <c r="C324" s="123" t="s">
        <v>609</v>
      </c>
      <c r="D324" s="50"/>
      <c r="E324" s="111" t="s">
        <v>627</v>
      </c>
      <c r="F324" s="124">
        <f>F322*5</f>
        <v>27.549999999999997</v>
      </c>
      <c r="G324" s="125" t="s">
        <v>214</v>
      </c>
      <c r="H324" s="33">
        <v>0.1</v>
      </c>
      <c r="I324" s="82">
        <f t="shared" si="322"/>
        <v>30.304999999999996</v>
      </c>
      <c r="J324" s="34">
        <v>0.54</v>
      </c>
      <c r="K324" s="35">
        <f t="shared" si="323"/>
        <v>16.364699999999999</v>
      </c>
      <c r="L324" s="36">
        <f t="shared" si="324"/>
        <v>73.03</v>
      </c>
      <c r="M324" s="37">
        <v>1.7000000000000001E-2</v>
      </c>
      <c r="N324" s="37">
        <f t="shared" si="325"/>
        <v>0.515185</v>
      </c>
      <c r="O324" s="35">
        <f t="shared" si="326"/>
        <v>37.62396055</v>
      </c>
      <c r="P324" s="38">
        <f t="shared" si="266"/>
        <v>53.988660549999999</v>
      </c>
      <c r="Q324" s="39"/>
    </row>
    <row r="325" spans="1:17" x14ac:dyDescent="0.25">
      <c r="A325" s="122" t="str">
        <f>IF(TRIM(G325)&lt;&gt;"",COUNTA(G$9:$G325)&amp;"","")</f>
        <v>259</v>
      </c>
      <c r="B325" s="123" t="s">
        <v>609</v>
      </c>
      <c r="C325" s="123" t="s">
        <v>609</v>
      </c>
      <c r="D325" s="50"/>
      <c r="E325" s="111" t="s">
        <v>706</v>
      </c>
      <c r="F325" s="124">
        <f>F322*4</f>
        <v>22.04</v>
      </c>
      <c r="G325" s="125" t="s">
        <v>228</v>
      </c>
      <c r="H325" s="33">
        <v>0.1</v>
      </c>
      <c r="I325" s="82">
        <f t="shared" si="322"/>
        <v>24.244</v>
      </c>
      <c r="J325" s="34">
        <v>0.05</v>
      </c>
      <c r="K325" s="35">
        <f t="shared" si="323"/>
        <v>1.2122000000000002</v>
      </c>
      <c r="L325" s="36">
        <f t="shared" si="324"/>
        <v>73.03</v>
      </c>
      <c r="M325" s="37">
        <v>1.6E-2</v>
      </c>
      <c r="N325" s="37">
        <f t="shared" si="325"/>
        <v>0.38790400000000003</v>
      </c>
      <c r="O325" s="35">
        <f t="shared" si="326"/>
        <v>28.328629120000002</v>
      </c>
      <c r="P325" s="38">
        <f t="shared" si="266"/>
        <v>29.540829120000001</v>
      </c>
      <c r="Q325" s="39"/>
    </row>
    <row r="326" spans="1:17" x14ac:dyDescent="0.25">
      <c r="A326" s="122" t="str">
        <f>IF(TRIM(G326)&lt;&gt;"",COUNTA(G$9:$G326)&amp;"","")</f>
        <v>260</v>
      </c>
      <c r="B326" s="123" t="s">
        <v>609</v>
      </c>
      <c r="C326" s="123" t="s">
        <v>609</v>
      </c>
      <c r="D326" s="50"/>
      <c r="E326" s="211" t="s">
        <v>639</v>
      </c>
      <c r="F326" s="193">
        <v>22.07</v>
      </c>
      <c r="G326" s="193" t="s">
        <v>228</v>
      </c>
      <c r="H326" s="33"/>
      <c r="I326" s="82"/>
      <c r="J326" s="34"/>
      <c r="K326" s="35"/>
      <c r="L326" s="36"/>
      <c r="M326" s="37"/>
      <c r="N326" s="37"/>
      <c r="O326" s="35"/>
      <c r="P326" s="38">
        <f t="shared" si="266"/>
        <v>0</v>
      </c>
      <c r="Q326" s="39"/>
    </row>
    <row r="327" spans="1:17" ht="30" x14ac:dyDescent="0.25">
      <c r="A327" s="122" t="str">
        <f>IF(TRIM(G327)&lt;&gt;"",COUNTA(G$9:$G327)&amp;"","")</f>
        <v>261</v>
      </c>
      <c r="B327" s="123" t="s">
        <v>609</v>
      </c>
      <c r="C327" s="123" t="s">
        <v>609</v>
      </c>
      <c r="D327" s="50"/>
      <c r="E327" s="111" t="s">
        <v>640</v>
      </c>
      <c r="F327" s="124">
        <f>F326</f>
        <v>22.07</v>
      </c>
      <c r="G327" s="125" t="s">
        <v>228</v>
      </c>
      <c r="H327" s="33">
        <v>0.1</v>
      </c>
      <c r="I327" s="82">
        <f t="shared" ref="I327:I332" si="327">IF(F327=0,"",F327+(F327*H327))</f>
        <v>24.277000000000001</v>
      </c>
      <c r="J327" s="34">
        <f>9.61/10*16</f>
        <v>15.375999999999999</v>
      </c>
      <c r="K327" s="35">
        <f t="shared" ref="K327:K332" si="328">IF(F327=0,"",J327*I327)</f>
        <v>373.28315200000003</v>
      </c>
      <c r="L327" s="36">
        <f t="shared" ref="L327:L332" si="329">IF(F327=0,"",L$14)</f>
        <v>73.03</v>
      </c>
      <c r="M327" s="37">
        <f>0.16/10*16</f>
        <v>0.25600000000000001</v>
      </c>
      <c r="N327" s="37">
        <f t="shared" ref="N327:N332" si="330">IF(F327=0,"",M327*I327)</f>
        <v>6.214912</v>
      </c>
      <c r="O327" s="35">
        <f t="shared" ref="O327:O332" si="331">IF(F327=0,"",N327*L327)</f>
        <v>453.87502336</v>
      </c>
      <c r="P327" s="38">
        <f t="shared" si="266"/>
        <v>827.15817536000009</v>
      </c>
      <c r="Q327" s="39"/>
    </row>
    <row r="328" spans="1:17" x14ac:dyDescent="0.25">
      <c r="A328" s="122" t="str">
        <f>IF(TRIM(G328)&lt;&gt;"",COUNTA(G$9:$G328)&amp;"","")</f>
        <v>262</v>
      </c>
      <c r="B328" s="123" t="s">
        <v>609</v>
      </c>
      <c r="C328" s="123" t="s">
        <v>609</v>
      </c>
      <c r="D328" s="50"/>
      <c r="E328" s="111" t="s">
        <v>612</v>
      </c>
      <c r="F328" s="124">
        <f>F326</f>
        <v>22.07</v>
      </c>
      <c r="G328" s="125" t="s">
        <v>228</v>
      </c>
      <c r="H328" s="33">
        <v>0.1</v>
      </c>
      <c r="I328" s="82">
        <f t="shared" si="327"/>
        <v>24.277000000000001</v>
      </c>
      <c r="J328" s="34">
        <v>1.51</v>
      </c>
      <c r="K328" s="35">
        <f t="shared" si="328"/>
        <v>36.658270000000002</v>
      </c>
      <c r="L328" s="36">
        <f t="shared" si="329"/>
        <v>73.03</v>
      </c>
      <c r="M328" s="37">
        <v>3.5999999999999997E-2</v>
      </c>
      <c r="N328" s="37">
        <f t="shared" si="330"/>
        <v>0.87397199999999997</v>
      </c>
      <c r="O328" s="35">
        <f t="shared" si="331"/>
        <v>63.826175159999998</v>
      </c>
      <c r="P328" s="38">
        <f t="shared" si="266"/>
        <v>100.48444516000001</v>
      </c>
      <c r="Q328" s="39"/>
    </row>
    <row r="329" spans="1:17" x14ac:dyDescent="0.25">
      <c r="A329" s="122" t="str">
        <f>IF(TRIM(G329)&lt;&gt;"",COUNTA(G$9:$G329)&amp;"","")</f>
        <v>263</v>
      </c>
      <c r="B329" s="123" t="s">
        <v>609</v>
      </c>
      <c r="C329" s="123" t="s">
        <v>609</v>
      </c>
      <c r="D329" s="50"/>
      <c r="E329" s="111" t="s">
        <v>613</v>
      </c>
      <c r="F329" s="124">
        <f>F326*16</f>
        <v>353.12</v>
      </c>
      <c r="G329" s="125" t="s">
        <v>214</v>
      </c>
      <c r="H329" s="33">
        <v>0.1</v>
      </c>
      <c r="I329" s="82">
        <f t="shared" si="327"/>
        <v>388.43200000000002</v>
      </c>
      <c r="J329" s="34">
        <v>0.54</v>
      </c>
      <c r="K329" s="35">
        <f t="shared" si="328"/>
        <v>209.75328000000002</v>
      </c>
      <c r="L329" s="36">
        <f t="shared" si="329"/>
        <v>73.03</v>
      </c>
      <c r="M329" s="37">
        <v>1.7000000000000001E-2</v>
      </c>
      <c r="N329" s="37">
        <f t="shared" si="330"/>
        <v>6.6033440000000008</v>
      </c>
      <c r="O329" s="35">
        <f t="shared" si="331"/>
        <v>482.24221232000008</v>
      </c>
      <c r="P329" s="38">
        <f t="shared" si="266"/>
        <v>691.99549232000004</v>
      </c>
      <c r="Q329" s="39"/>
    </row>
    <row r="330" spans="1:17" x14ac:dyDescent="0.25">
      <c r="A330" s="122" t="str">
        <f>IF(TRIM(G330)&lt;&gt;"",COUNTA(G$9:$G330)&amp;"","")</f>
        <v>264</v>
      </c>
      <c r="B330" s="123" t="s">
        <v>609</v>
      </c>
      <c r="C330" s="123" t="s">
        <v>609</v>
      </c>
      <c r="D330" s="50"/>
      <c r="E330" s="111" t="s">
        <v>614</v>
      </c>
      <c r="F330" s="124">
        <f>F326*16</f>
        <v>353.12</v>
      </c>
      <c r="G330" s="125" t="s">
        <v>214</v>
      </c>
      <c r="H330" s="33">
        <v>0.1</v>
      </c>
      <c r="I330" s="82">
        <f t="shared" si="327"/>
        <v>388.43200000000002</v>
      </c>
      <c r="J330" s="34">
        <v>0.69</v>
      </c>
      <c r="K330" s="35">
        <f t="shared" si="328"/>
        <v>268.01808</v>
      </c>
      <c r="L330" s="36">
        <f t="shared" si="329"/>
        <v>73.03</v>
      </c>
      <c r="M330" s="37">
        <v>1.4E-2</v>
      </c>
      <c r="N330" s="37">
        <f t="shared" si="330"/>
        <v>5.4380480000000002</v>
      </c>
      <c r="O330" s="35">
        <f t="shared" si="331"/>
        <v>397.14064544000001</v>
      </c>
      <c r="P330" s="38">
        <f t="shared" si="266"/>
        <v>665.15872544000001</v>
      </c>
      <c r="Q330" s="39"/>
    </row>
    <row r="331" spans="1:17" x14ac:dyDescent="0.25">
      <c r="A331" s="122" t="str">
        <f>IF(TRIM(G331)&lt;&gt;"",COUNTA(G$9:$G331)&amp;"","")</f>
        <v>265</v>
      </c>
      <c r="B331" s="123" t="s">
        <v>609</v>
      </c>
      <c r="C331" s="123" t="s">
        <v>609</v>
      </c>
      <c r="D331" s="50"/>
      <c r="E331" s="111" t="s">
        <v>615</v>
      </c>
      <c r="F331" s="124">
        <f>F326*16</f>
        <v>353.12</v>
      </c>
      <c r="G331" s="125" t="s">
        <v>214</v>
      </c>
      <c r="H331" s="33">
        <v>0.1</v>
      </c>
      <c r="I331" s="82">
        <f t="shared" si="327"/>
        <v>388.43200000000002</v>
      </c>
      <c r="J331" s="34">
        <v>2.4</v>
      </c>
      <c r="K331" s="35">
        <f t="shared" si="328"/>
        <v>932.23680000000002</v>
      </c>
      <c r="L331" s="36">
        <f t="shared" si="329"/>
        <v>73.03</v>
      </c>
      <c r="M331" s="37">
        <v>5.0000000000000001E-3</v>
      </c>
      <c r="N331" s="37">
        <f t="shared" si="330"/>
        <v>1.9421600000000001</v>
      </c>
      <c r="O331" s="35">
        <f t="shared" si="331"/>
        <v>141.83594480000002</v>
      </c>
      <c r="P331" s="38">
        <f t="shared" si="266"/>
        <v>1074.0727448</v>
      </c>
      <c r="Q331" s="39"/>
    </row>
    <row r="332" spans="1:17" x14ac:dyDescent="0.25">
      <c r="A332" s="122" t="str">
        <f>IF(TRIM(G332)&lt;&gt;"",COUNTA(G$9:$G332)&amp;"","")</f>
        <v>266</v>
      </c>
      <c r="B332" s="123" t="s">
        <v>609</v>
      </c>
      <c r="C332" s="123" t="s">
        <v>609</v>
      </c>
      <c r="D332" s="50"/>
      <c r="E332" s="111" t="s">
        <v>706</v>
      </c>
      <c r="F332" s="124">
        <f>F326*2</f>
        <v>44.14</v>
      </c>
      <c r="G332" s="125" t="s">
        <v>228</v>
      </c>
      <c r="H332" s="33">
        <v>0.1</v>
      </c>
      <c r="I332" s="82">
        <f t="shared" si="327"/>
        <v>48.554000000000002</v>
      </c>
      <c r="J332" s="34">
        <v>0.05</v>
      </c>
      <c r="K332" s="35">
        <f t="shared" si="328"/>
        <v>2.4277000000000002</v>
      </c>
      <c r="L332" s="36">
        <f t="shared" si="329"/>
        <v>73.03</v>
      </c>
      <c r="M332" s="37">
        <v>1.6E-2</v>
      </c>
      <c r="N332" s="37">
        <f t="shared" si="330"/>
        <v>0.776864</v>
      </c>
      <c r="O332" s="35">
        <f t="shared" si="331"/>
        <v>56.73437792</v>
      </c>
      <c r="P332" s="38">
        <f t="shared" si="266"/>
        <v>59.162077920000002</v>
      </c>
      <c r="Q332" s="39"/>
    </row>
    <row r="333" spans="1:17" x14ac:dyDescent="0.25">
      <c r="A333" s="122" t="str">
        <f>IF(TRIM(G333)&lt;&gt;"",COUNTA(G$9:$G333)&amp;"","")</f>
        <v>267</v>
      </c>
      <c r="B333" s="123" t="s">
        <v>609</v>
      </c>
      <c r="C333" s="123" t="s">
        <v>609</v>
      </c>
      <c r="D333" s="50"/>
      <c r="E333" s="211" t="s">
        <v>641</v>
      </c>
      <c r="F333" s="193">
        <v>21.35</v>
      </c>
      <c r="G333" s="193" t="s">
        <v>228</v>
      </c>
      <c r="H333" s="33"/>
      <c r="I333" s="82"/>
      <c r="J333" s="34"/>
      <c r="K333" s="35"/>
      <c r="L333" s="36"/>
      <c r="M333" s="37"/>
      <c r="N333" s="37"/>
      <c r="O333" s="35"/>
      <c r="P333" s="38">
        <f t="shared" si="266"/>
        <v>0</v>
      </c>
      <c r="Q333" s="39"/>
    </row>
    <row r="334" spans="1:17" ht="30" x14ac:dyDescent="0.25">
      <c r="A334" s="122" t="str">
        <f>IF(TRIM(G334)&lt;&gt;"",COUNTA(G$9:$G334)&amp;"","")</f>
        <v>268</v>
      </c>
      <c r="B334" s="123" t="s">
        <v>609</v>
      </c>
      <c r="C334" s="123" t="s">
        <v>609</v>
      </c>
      <c r="D334" s="50"/>
      <c r="E334" s="111" t="s">
        <v>642</v>
      </c>
      <c r="F334" s="124">
        <f>F333</f>
        <v>21.35</v>
      </c>
      <c r="G334" s="125" t="s">
        <v>228</v>
      </c>
      <c r="H334" s="33">
        <v>0.1</v>
      </c>
      <c r="I334" s="82">
        <f t="shared" ref="I334:I340" si="332">IF(F334=0,"",F334+(F334*H334))</f>
        <v>23.485000000000003</v>
      </c>
      <c r="J334" s="34">
        <f>9.61/10*14</f>
        <v>13.453999999999999</v>
      </c>
      <c r="K334" s="35">
        <f t="shared" ref="K334:K340" si="333">IF(F334=0,"",J334*I334)</f>
        <v>315.96719000000002</v>
      </c>
      <c r="L334" s="36">
        <f t="shared" ref="L334:L340" si="334">IF(F334=0,"",L$14)</f>
        <v>73.03</v>
      </c>
      <c r="M334" s="37">
        <f>0.16/10*14</f>
        <v>0.224</v>
      </c>
      <c r="N334" s="37">
        <f t="shared" ref="N334:N340" si="335">IF(F334=0,"",M334*I334)</f>
        <v>5.2606400000000004</v>
      </c>
      <c r="O334" s="35">
        <f t="shared" ref="O334:O340" si="336">IF(F334=0,"",N334*L334)</f>
        <v>384.18453920000002</v>
      </c>
      <c r="P334" s="38">
        <f t="shared" si="266"/>
        <v>700.15172920000009</v>
      </c>
      <c r="Q334" s="39"/>
    </row>
    <row r="335" spans="1:17" x14ac:dyDescent="0.25">
      <c r="A335" s="122" t="str">
        <f>IF(TRIM(G335)&lt;&gt;"",COUNTA(G$9:$G335)&amp;"","")</f>
        <v>269</v>
      </c>
      <c r="B335" s="123" t="s">
        <v>609</v>
      </c>
      <c r="C335" s="123" t="s">
        <v>609</v>
      </c>
      <c r="D335" s="50"/>
      <c r="E335" s="111" t="s">
        <v>612</v>
      </c>
      <c r="F335" s="124">
        <f>F333</f>
        <v>21.35</v>
      </c>
      <c r="G335" s="125" t="s">
        <v>228</v>
      </c>
      <c r="H335" s="33">
        <v>0.1</v>
      </c>
      <c r="I335" s="82">
        <f t="shared" si="332"/>
        <v>23.485000000000003</v>
      </c>
      <c r="J335" s="34">
        <v>1.51</v>
      </c>
      <c r="K335" s="35">
        <f t="shared" si="333"/>
        <v>35.462350000000008</v>
      </c>
      <c r="L335" s="36">
        <f t="shared" si="334"/>
        <v>73.03</v>
      </c>
      <c r="M335" s="37">
        <v>3.5999999999999997E-2</v>
      </c>
      <c r="N335" s="37">
        <f t="shared" si="335"/>
        <v>0.84545999999999999</v>
      </c>
      <c r="O335" s="35">
        <f t="shared" si="336"/>
        <v>61.743943799999997</v>
      </c>
      <c r="P335" s="38">
        <f t="shared" si="266"/>
        <v>97.206293799999997</v>
      </c>
      <c r="Q335" s="39"/>
    </row>
    <row r="336" spans="1:17" x14ac:dyDescent="0.25">
      <c r="A336" s="122" t="str">
        <f>IF(TRIM(G336)&lt;&gt;"",COUNTA(G$9:$G336)&amp;"","")</f>
        <v>270</v>
      </c>
      <c r="B336" s="123" t="s">
        <v>609</v>
      </c>
      <c r="C336" s="123" t="s">
        <v>609</v>
      </c>
      <c r="D336" s="50"/>
      <c r="E336" s="111" t="s">
        <v>613</v>
      </c>
      <c r="F336" s="124">
        <f>(F333*12.83)-F337</f>
        <v>89.938299999999998</v>
      </c>
      <c r="G336" s="125" t="s">
        <v>214</v>
      </c>
      <c r="H336" s="33">
        <v>0.1</v>
      </c>
      <c r="I336" s="82">
        <f t="shared" si="332"/>
        <v>98.932130000000001</v>
      </c>
      <c r="J336" s="34">
        <v>0.54</v>
      </c>
      <c r="K336" s="35">
        <f t="shared" si="333"/>
        <v>53.423350200000002</v>
      </c>
      <c r="L336" s="36">
        <f t="shared" si="334"/>
        <v>73.03</v>
      </c>
      <c r="M336" s="37">
        <v>1.7000000000000001E-2</v>
      </c>
      <c r="N336" s="37">
        <f t="shared" si="335"/>
        <v>1.6818462100000002</v>
      </c>
      <c r="O336" s="35">
        <f t="shared" si="336"/>
        <v>122.82522871630002</v>
      </c>
      <c r="P336" s="38">
        <f t="shared" si="266"/>
        <v>176.2485789163</v>
      </c>
      <c r="Q336" s="39"/>
    </row>
    <row r="337" spans="1:17" x14ac:dyDescent="0.25">
      <c r="A337" s="122" t="str">
        <f>IF(TRIM(G337)&lt;&gt;"",COUNTA(G$9:$G337)&amp;"","")</f>
        <v>271</v>
      </c>
      <c r="B337" s="123" t="s">
        <v>609</v>
      </c>
      <c r="C337" s="123" t="s">
        <v>609</v>
      </c>
      <c r="D337" s="50"/>
      <c r="E337" s="111" t="s">
        <v>620</v>
      </c>
      <c r="F337" s="124">
        <f>14.34*12.83</f>
        <v>183.98220000000001</v>
      </c>
      <c r="G337" s="125" t="s">
        <v>214</v>
      </c>
      <c r="H337" s="33">
        <v>0.1</v>
      </c>
      <c r="I337" s="82">
        <f t="shared" si="332"/>
        <v>202.38042000000002</v>
      </c>
      <c r="J337" s="34">
        <v>0.68</v>
      </c>
      <c r="K337" s="35">
        <f t="shared" si="333"/>
        <v>137.61868560000002</v>
      </c>
      <c r="L337" s="36">
        <f t="shared" si="334"/>
        <v>73.03</v>
      </c>
      <c r="M337" s="37">
        <v>1.7000000000000001E-2</v>
      </c>
      <c r="N337" s="37">
        <f t="shared" si="335"/>
        <v>3.4404671400000004</v>
      </c>
      <c r="O337" s="35">
        <f t="shared" si="336"/>
        <v>251.25731523420004</v>
      </c>
      <c r="P337" s="38">
        <f t="shared" si="266"/>
        <v>388.87600083420006</v>
      </c>
      <c r="Q337" s="39"/>
    </row>
    <row r="338" spans="1:17" x14ac:dyDescent="0.25">
      <c r="A338" s="122" t="str">
        <f>IF(TRIM(G338)&lt;&gt;"",COUNTA(G$9:$G338)&amp;"","")</f>
        <v>272</v>
      </c>
      <c r="B338" s="123" t="s">
        <v>609</v>
      </c>
      <c r="C338" s="123" t="s">
        <v>609</v>
      </c>
      <c r="D338" s="50"/>
      <c r="E338" s="111" t="s">
        <v>614</v>
      </c>
      <c r="F338" s="124">
        <f>F333*12.83</f>
        <v>273.9205</v>
      </c>
      <c r="G338" s="125" t="s">
        <v>214</v>
      </c>
      <c r="H338" s="33">
        <v>0.1</v>
      </c>
      <c r="I338" s="82">
        <f t="shared" si="332"/>
        <v>301.31254999999999</v>
      </c>
      <c r="J338" s="34">
        <v>0.69</v>
      </c>
      <c r="K338" s="35">
        <f t="shared" si="333"/>
        <v>207.90565949999998</v>
      </c>
      <c r="L338" s="36">
        <f t="shared" si="334"/>
        <v>73.03</v>
      </c>
      <c r="M338" s="37">
        <v>1.4E-2</v>
      </c>
      <c r="N338" s="37">
        <f t="shared" si="335"/>
        <v>4.2183757000000002</v>
      </c>
      <c r="O338" s="35">
        <f t="shared" si="336"/>
        <v>308.06797737100004</v>
      </c>
      <c r="P338" s="38">
        <f t="shared" si="266"/>
        <v>515.97363687100005</v>
      </c>
      <c r="Q338" s="39"/>
    </row>
    <row r="339" spans="1:17" x14ac:dyDescent="0.25">
      <c r="A339" s="122" t="str">
        <f>IF(TRIM(G339)&lt;&gt;"",COUNTA(G$9:$G339)&amp;"","")</f>
        <v>273</v>
      </c>
      <c r="B339" s="123" t="s">
        <v>609</v>
      </c>
      <c r="C339" s="123" t="s">
        <v>609</v>
      </c>
      <c r="D339" s="50"/>
      <c r="E339" s="111" t="s">
        <v>615</v>
      </c>
      <c r="F339" s="124">
        <f>F333*12.83</f>
        <v>273.9205</v>
      </c>
      <c r="G339" s="125" t="s">
        <v>214</v>
      </c>
      <c r="H339" s="33">
        <v>0.1</v>
      </c>
      <c r="I339" s="82">
        <f t="shared" si="332"/>
        <v>301.31254999999999</v>
      </c>
      <c r="J339" s="34">
        <v>2.4</v>
      </c>
      <c r="K339" s="35">
        <f t="shared" si="333"/>
        <v>723.1501199999999</v>
      </c>
      <c r="L339" s="36">
        <f t="shared" si="334"/>
        <v>73.03</v>
      </c>
      <c r="M339" s="37">
        <v>5.0000000000000001E-3</v>
      </c>
      <c r="N339" s="37">
        <f t="shared" si="335"/>
        <v>1.5065627500000001</v>
      </c>
      <c r="O339" s="35">
        <f t="shared" si="336"/>
        <v>110.0242776325</v>
      </c>
      <c r="P339" s="38">
        <f t="shared" si="266"/>
        <v>833.1743976324999</v>
      </c>
      <c r="Q339" s="39"/>
    </row>
    <row r="340" spans="1:17" x14ac:dyDescent="0.25">
      <c r="A340" s="122" t="str">
        <f>IF(TRIM(G340)&lt;&gt;"",COUNTA(G$9:$G340)&amp;"","")</f>
        <v>274</v>
      </c>
      <c r="B340" s="123" t="s">
        <v>609</v>
      </c>
      <c r="C340" s="123" t="s">
        <v>609</v>
      </c>
      <c r="D340" s="50"/>
      <c r="E340" s="111" t="s">
        <v>706</v>
      </c>
      <c r="F340" s="124">
        <f>F333*2</f>
        <v>42.7</v>
      </c>
      <c r="G340" s="125" t="s">
        <v>228</v>
      </c>
      <c r="H340" s="33">
        <v>0.1</v>
      </c>
      <c r="I340" s="82">
        <f t="shared" si="332"/>
        <v>46.970000000000006</v>
      </c>
      <c r="J340" s="34">
        <v>0.05</v>
      </c>
      <c r="K340" s="35">
        <f t="shared" si="333"/>
        <v>2.3485000000000005</v>
      </c>
      <c r="L340" s="36">
        <f t="shared" si="334"/>
        <v>73.03</v>
      </c>
      <c r="M340" s="37">
        <v>1.6E-2</v>
      </c>
      <c r="N340" s="37">
        <f t="shared" si="335"/>
        <v>0.75152000000000008</v>
      </c>
      <c r="O340" s="35">
        <f t="shared" si="336"/>
        <v>54.883505600000007</v>
      </c>
      <c r="P340" s="38">
        <f t="shared" si="266"/>
        <v>57.232005600000008</v>
      </c>
      <c r="Q340" s="39"/>
    </row>
    <row r="341" spans="1:17" x14ac:dyDescent="0.25">
      <c r="A341" s="122" t="str">
        <f>IF(TRIM(G341)&lt;&gt;"",COUNTA(G$9:$G341)&amp;"","")</f>
        <v>275</v>
      </c>
      <c r="B341" s="123" t="s">
        <v>609</v>
      </c>
      <c r="C341" s="123" t="s">
        <v>609</v>
      </c>
      <c r="D341" s="50"/>
      <c r="E341" s="211" t="s">
        <v>643</v>
      </c>
      <c r="F341" s="193">
        <v>97.28</v>
      </c>
      <c r="G341" s="193" t="s">
        <v>228</v>
      </c>
      <c r="H341" s="33"/>
      <c r="I341" s="82"/>
      <c r="J341" s="34"/>
      <c r="K341" s="35"/>
      <c r="L341" s="36"/>
      <c r="M341" s="37"/>
      <c r="N341" s="37"/>
      <c r="O341" s="35"/>
      <c r="P341" s="38">
        <f t="shared" si="266"/>
        <v>0</v>
      </c>
      <c r="Q341" s="39"/>
    </row>
    <row r="342" spans="1:17" ht="30" x14ac:dyDescent="0.25">
      <c r="A342" s="122" t="str">
        <f>IF(TRIM(G342)&lt;&gt;"",COUNTA(G$9:$G342)&amp;"","")</f>
        <v>276</v>
      </c>
      <c r="B342" s="123" t="s">
        <v>609</v>
      </c>
      <c r="C342" s="123" t="s">
        <v>609</v>
      </c>
      <c r="D342" s="50"/>
      <c r="E342" s="111" t="s">
        <v>644</v>
      </c>
      <c r="F342" s="124">
        <f>F341</f>
        <v>97.28</v>
      </c>
      <c r="G342" s="125" t="s">
        <v>228</v>
      </c>
      <c r="H342" s="33">
        <v>0.1</v>
      </c>
      <c r="I342" s="82">
        <f t="shared" ref="I342:I347" si="337">IF(F342=0,"",F342+(F342*H342))</f>
        <v>107.00800000000001</v>
      </c>
      <c r="J342" s="34">
        <f>9.61/10*12</f>
        <v>11.532</v>
      </c>
      <c r="K342" s="35">
        <f t="shared" ref="K342:K347" si="338">IF(F342=0,"",J342*I342)</f>
        <v>1234.0162560000001</v>
      </c>
      <c r="L342" s="36">
        <f t="shared" ref="L342:L347" si="339">IF(F342=0,"",L$14)</f>
        <v>73.03</v>
      </c>
      <c r="M342" s="37">
        <f>0.16/10*12</f>
        <v>0.192</v>
      </c>
      <c r="N342" s="37">
        <f t="shared" ref="N342:N347" si="340">IF(F342=0,"",M342*I342)</f>
        <v>20.545536000000002</v>
      </c>
      <c r="O342" s="35">
        <f t="shared" ref="O342:O347" si="341">IF(F342=0,"",N342*L342)</f>
        <v>1500.4404940800002</v>
      </c>
      <c r="P342" s="38">
        <f t="shared" si="266"/>
        <v>2734.4567500800003</v>
      </c>
      <c r="Q342" s="39"/>
    </row>
    <row r="343" spans="1:17" x14ac:dyDescent="0.25">
      <c r="A343" s="122" t="str">
        <f>IF(TRIM(G343)&lt;&gt;"",COUNTA(G$9:$G343)&amp;"","")</f>
        <v>277</v>
      </c>
      <c r="B343" s="123" t="s">
        <v>609</v>
      </c>
      <c r="C343" s="123" t="s">
        <v>609</v>
      </c>
      <c r="D343" s="50"/>
      <c r="E343" s="111" t="s">
        <v>612</v>
      </c>
      <c r="F343" s="124">
        <f>F341</f>
        <v>97.28</v>
      </c>
      <c r="G343" s="125" t="s">
        <v>228</v>
      </c>
      <c r="H343" s="33">
        <v>0.1</v>
      </c>
      <c r="I343" s="82">
        <f t="shared" si="337"/>
        <v>107.00800000000001</v>
      </c>
      <c r="J343" s="34">
        <v>1.51</v>
      </c>
      <c r="K343" s="35">
        <f t="shared" si="338"/>
        <v>161.58208000000002</v>
      </c>
      <c r="L343" s="36">
        <f t="shared" si="339"/>
        <v>73.03</v>
      </c>
      <c r="M343" s="37">
        <v>3.5999999999999997E-2</v>
      </c>
      <c r="N343" s="37">
        <f t="shared" si="340"/>
        <v>3.8522880000000002</v>
      </c>
      <c r="O343" s="35">
        <f t="shared" si="341"/>
        <v>281.33259264000003</v>
      </c>
      <c r="P343" s="38">
        <f t="shared" si="266"/>
        <v>442.91467264000005</v>
      </c>
      <c r="Q343" s="39"/>
    </row>
    <row r="344" spans="1:17" x14ac:dyDescent="0.25">
      <c r="A344" s="122" t="str">
        <f>IF(TRIM(G344)&lt;&gt;"",COUNTA(G$9:$G344)&amp;"","")</f>
        <v>278</v>
      </c>
      <c r="B344" s="123" t="s">
        <v>609</v>
      </c>
      <c r="C344" s="123" t="s">
        <v>609</v>
      </c>
      <c r="D344" s="50"/>
      <c r="E344" s="111" t="s">
        <v>613</v>
      </c>
      <c r="F344" s="124">
        <f>F341*10.67</f>
        <v>1037.9775999999999</v>
      </c>
      <c r="G344" s="125" t="s">
        <v>214</v>
      </c>
      <c r="H344" s="33">
        <v>0.1</v>
      </c>
      <c r="I344" s="82">
        <f t="shared" si="337"/>
        <v>1141.7753599999999</v>
      </c>
      <c r="J344" s="34">
        <v>0.54</v>
      </c>
      <c r="K344" s="35">
        <f t="shared" si="338"/>
        <v>616.55869439999992</v>
      </c>
      <c r="L344" s="36">
        <f t="shared" si="339"/>
        <v>73.03</v>
      </c>
      <c r="M344" s="37">
        <v>1.7000000000000001E-2</v>
      </c>
      <c r="N344" s="37">
        <f t="shared" si="340"/>
        <v>19.410181120000001</v>
      </c>
      <c r="O344" s="35">
        <f t="shared" si="341"/>
        <v>1417.5255271936001</v>
      </c>
      <c r="P344" s="38">
        <f t="shared" si="266"/>
        <v>2034.0842215936</v>
      </c>
      <c r="Q344" s="39"/>
    </row>
    <row r="345" spans="1:17" x14ac:dyDescent="0.25">
      <c r="A345" s="122" t="str">
        <f>IF(TRIM(G345)&lt;&gt;"",COUNTA(G$9:$G345)&amp;"","")</f>
        <v>279</v>
      </c>
      <c r="B345" s="123" t="s">
        <v>609</v>
      </c>
      <c r="C345" s="123" t="s">
        <v>609</v>
      </c>
      <c r="D345" s="50"/>
      <c r="E345" s="111" t="s">
        <v>614</v>
      </c>
      <c r="F345" s="124">
        <f>F341*10.67</f>
        <v>1037.9775999999999</v>
      </c>
      <c r="G345" s="125" t="s">
        <v>214</v>
      </c>
      <c r="H345" s="33">
        <v>0.1</v>
      </c>
      <c r="I345" s="82">
        <f t="shared" si="337"/>
        <v>1141.7753599999999</v>
      </c>
      <c r="J345" s="34">
        <v>0.69</v>
      </c>
      <c r="K345" s="35">
        <f t="shared" si="338"/>
        <v>787.8249983999998</v>
      </c>
      <c r="L345" s="36">
        <f t="shared" si="339"/>
        <v>73.03</v>
      </c>
      <c r="M345" s="37">
        <v>1.4E-2</v>
      </c>
      <c r="N345" s="37">
        <f t="shared" si="340"/>
        <v>15.984855039999998</v>
      </c>
      <c r="O345" s="35">
        <f t="shared" si="341"/>
        <v>1167.3739635711997</v>
      </c>
      <c r="P345" s="38">
        <f t="shared" si="266"/>
        <v>1955.1989619711994</v>
      </c>
      <c r="Q345" s="39"/>
    </row>
    <row r="346" spans="1:17" x14ac:dyDescent="0.25">
      <c r="A346" s="122" t="str">
        <f>IF(TRIM(G346)&lt;&gt;"",COUNTA(G$9:$G346)&amp;"","")</f>
        <v>280</v>
      </c>
      <c r="B346" s="123" t="s">
        <v>609</v>
      </c>
      <c r="C346" s="123" t="s">
        <v>609</v>
      </c>
      <c r="D346" s="50"/>
      <c r="E346" s="111" t="s">
        <v>615</v>
      </c>
      <c r="F346" s="124">
        <f>F341*10.67</f>
        <v>1037.9775999999999</v>
      </c>
      <c r="G346" s="125" t="s">
        <v>214</v>
      </c>
      <c r="H346" s="33">
        <v>0.1</v>
      </c>
      <c r="I346" s="82">
        <f t="shared" si="337"/>
        <v>1141.7753599999999</v>
      </c>
      <c r="J346" s="34">
        <v>2.4</v>
      </c>
      <c r="K346" s="35">
        <f t="shared" si="338"/>
        <v>2740.2608639999994</v>
      </c>
      <c r="L346" s="36">
        <f t="shared" si="339"/>
        <v>73.03</v>
      </c>
      <c r="M346" s="37">
        <v>5.0000000000000001E-3</v>
      </c>
      <c r="N346" s="37">
        <f t="shared" si="340"/>
        <v>5.7088767999999996</v>
      </c>
      <c r="O346" s="35">
        <f t="shared" si="341"/>
        <v>416.91927270399998</v>
      </c>
      <c r="P346" s="38">
        <f t="shared" si="266"/>
        <v>3157.1801367039993</v>
      </c>
      <c r="Q346" s="39"/>
    </row>
    <row r="347" spans="1:17" x14ac:dyDescent="0.25">
      <c r="A347" s="122" t="str">
        <f>IF(TRIM(G347)&lt;&gt;"",COUNTA(G$9:$G347)&amp;"","")</f>
        <v>281</v>
      </c>
      <c r="B347" s="123" t="s">
        <v>609</v>
      </c>
      <c r="C347" s="123" t="s">
        <v>609</v>
      </c>
      <c r="D347" s="50"/>
      <c r="E347" s="111" t="s">
        <v>706</v>
      </c>
      <c r="F347" s="124">
        <f>F341*2</f>
        <v>194.56</v>
      </c>
      <c r="G347" s="125" t="s">
        <v>228</v>
      </c>
      <c r="H347" s="33">
        <v>0.1</v>
      </c>
      <c r="I347" s="82">
        <f t="shared" si="337"/>
        <v>214.01600000000002</v>
      </c>
      <c r="J347" s="34">
        <v>0.05</v>
      </c>
      <c r="K347" s="35">
        <f t="shared" si="338"/>
        <v>10.700800000000001</v>
      </c>
      <c r="L347" s="36">
        <f t="shared" si="339"/>
        <v>73.03</v>
      </c>
      <c r="M347" s="37">
        <v>1.6E-2</v>
      </c>
      <c r="N347" s="37">
        <f t="shared" si="340"/>
        <v>3.4242560000000002</v>
      </c>
      <c r="O347" s="35">
        <f t="shared" si="341"/>
        <v>250.07341568000001</v>
      </c>
      <c r="P347" s="38">
        <f t="shared" si="266"/>
        <v>260.77421568</v>
      </c>
      <c r="Q347" s="39"/>
    </row>
    <row r="348" spans="1:17" x14ac:dyDescent="0.25">
      <c r="A348" s="122" t="str">
        <f>IF(TRIM(G348)&lt;&gt;"",COUNTA(G$9:$G348)&amp;"","")</f>
        <v>282</v>
      </c>
      <c r="B348" s="123" t="s">
        <v>609</v>
      </c>
      <c r="C348" s="123" t="s">
        <v>609</v>
      </c>
      <c r="D348" s="50"/>
      <c r="E348" s="211" t="s">
        <v>645</v>
      </c>
      <c r="F348" s="193">
        <v>29.61</v>
      </c>
      <c r="G348" s="193" t="s">
        <v>228</v>
      </c>
      <c r="H348" s="33"/>
      <c r="I348" s="82"/>
      <c r="J348" s="34"/>
      <c r="K348" s="35"/>
      <c r="L348" s="36"/>
      <c r="M348" s="37"/>
      <c r="N348" s="37"/>
      <c r="O348" s="35"/>
      <c r="P348" s="38">
        <f t="shared" si="266"/>
        <v>0</v>
      </c>
      <c r="Q348" s="39"/>
    </row>
    <row r="349" spans="1:17" ht="30" x14ac:dyDescent="0.25">
      <c r="A349" s="122" t="str">
        <f>IF(TRIM(G349)&lt;&gt;"",COUNTA(G$9:$G349)&amp;"","")</f>
        <v>283</v>
      </c>
      <c r="B349" s="123" t="s">
        <v>609</v>
      </c>
      <c r="C349" s="123" t="s">
        <v>609</v>
      </c>
      <c r="D349" s="50"/>
      <c r="E349" s="111" t="s">
        <v>646</v>
      </c>
      <c r="F349" s="124">
        <f>F348</f>
        <v>29.61</v>
      </c>
      <c r="G349" s="125" t="s">
        <v>228</v>
      </c>
      <c r="H349" s="33">
        <v>0.1</v>
      </c>
      <c r="I349" s="82">
        <f t="shared" ref="I349:I354" si="342">IF(F349=0,"",F349+(F349*H349))</f>
        <v>32.570999999999998</v>
      </c>
      <c r="J349" s="34">
        <f>9.61/10*14</f>
        <v>13.453999999999999</v>
      </c>
      <c r="K349" s="35">
        <f t="shared" ref="K349:K354" si="343">IF(F349=0,"",J349*I349)</f>
        <v>438.21023399999996</v>
      </c>
      <c r="L349" s="36">
        <f t="shared" ref="L349:L354" si="344">IF(F349=0,"",L$14)</f>
        <v>73.03</v>
      </c>
      <c r="M349" s="37">
        <f>0.16/10*14</f>
        <v>0.224</v>
      </c>
      <c r="N349" s="37">
        <f t="shared" ref="N349:N354" si="345">IF(F349=0,"",M349*I349)</f>
        <v>7.2959039999999993</v>
      </c>
      <c r="O349" s="35">
        <f t="shared" ref="O349:O354" si="346">IF(F349=0,"",N349*L349)</f>
        <v>532.81986911999991</v>
      </c>
      <c r="P349" s="38">
        <f t="shared" si="266"/>
        <v>971.03010311999992</v>
      </c>
      <c r="Q349" s="39"/>
    </row>
    <row r="350" spans="1:17" x14ac:dyDescent="0.25">
      <c r="A350" s="122" t="str">
        <f>IF(TRIM(G350)&lt;&gt;"",COUNTA(G$9:$G350)&amp;"","")</f>
        <v>284</v>
      </c>
      <c r="B350" s="123" t="s">
        <v>609</v>
      </c>
      <c r="C350" s="123" t="s">
        <v>609</v>
      </c>
      <c r="D350" s="50"/>
      <c r="E350" s="111" t="s">
        <v>612</v>
      </c>
      <c r="F350" s="124">
        <f>F348</f>
        <v>29.61</v>
      </c>
      <c r="G350" s="125" t="s">
        <v>228</v>
      </c>
      <c r="H350" s="33">
        <v>0.1</v>
      </c>
      <c r="I350" s="82">
        <f t="shared" si="342"/>
        <v>32.570999999999998</v>
      </c>
      <c r="J350" s="34">
        <v>1.51</v>
      </c>
      <c r="K350" s="35">
        <f t="shared" si="343"/>
        <v>49.182209999999998</v>
      </c>
      <c r="L350" s="36">
        <f t="shared" si="344"/>
        <v>73.03</v>
      </c>
      <c r="M350" s="37">
        <v>3.5999999999999997E-2</v>
      </c>
      <c r="N350" s="37">
        <f t="shared" si="345"/>
        <v>1.1725559999999999</v>
      </c>
      <c r="O350" s="35">
        <f t="shared" si="346"/>
        <v>85.631764680000003</v>
      </c>
      <c r="P350" s="38">
        <f t="shared" si="266"/>
        <v>134.81397468</v>
      </c>
      <c r="Q350" s="39"/>
    </row>
    <row r="351" spans="1:17" x14ac:dyDescent="0.25">
      <c r="A351" s="122" t="str">
        <f>IF(TRIM(G351)&lt;&gt;"",COUNTA(G$9:$G351)&amp;"","")</f>
        <v>285</v>
      </c>
      <c r="B351" s="123" t="s">
        <v>609</v>
      </c>
      <c r="C351" s="123" t="s">
        <v>609</v>
      </c>
      <c r="D351" s="50"/>
      <c r="E351" s="111" t="s">
        <v>613</v>
      </c>
      <c r="F351" s="124">
        <f>F348*13.5</f>
        <v>399.73500000000001</v>
      </c>
      <c r="G351" s="125" t="s">
        <v>214</v>
      </c>
      <c r="H351" s="33">
        <v>0.1</v>
      </c>
      <c r="I351" s="82">
        <f t="shared" si="342"/>
        <v>439.70850000000002</v>
      </c>
      <c r="J351" s="34">
        <v>0.54</v>
      </c>
      <c r="K351" s="35">
        <f t="shared" si="343"/>
        <v>237.44259000000002</v>
      </c>
      <c r="L351" s="36">
        <f t="shared" si="344"/>
        <v>73.03</v>
      </c>
      <c r="M351" s="37">
        <v>1.7000000000000001E-2</v>
      </c>
      <c r="N351" s="37">
        <f t="shared" si="345"/>
        <v>7.475044500000001</v>
      </c>
      <c r="O351" s="35">
        <f t="shared" si="346"/>
        <v>545.90249983500007</v>
      </c>
      <c r="P351" s="38">
        <f t="shared" si="266"/>
        <v>783.34508983500007</v>
      </c>
      <c r="Q351" s="39"/>
    </row>
    <row r="352" spans="1:17" x14ac:dyDescent="0.25">
      <c r="A352" s="122" t="str">
        <f>IF(TRIM(G352)&lt;&gt;"",COUNTA(G$9:$G352)&amp;"","")</f>
        <v>286</v>
      </c>
      <c r="B352" s="123" t="s">
        <v>609</v>
      </c>
      <c r="C352" s="123" t="s">
        <v>609</v>
      </c>
      <c r="D352" s="50"/>
      <c r="E352" s="111" t="s">
        <v>614</v>
      </c>
      <c r="F352" s="124">
        <f>F348*13.5</f>
        <v>399.73500000000001</v>
      </c>
      <c r="G352" s="125" t="s">
        <v>214</v>
      </c>
      <c r="H352" s="33">
        <v>0.1</v>
      </c>
      <c r="I352" s="82">
        <f t="shared" si="342"/>
        <v>439.70850000000002</v>
      </c>
      <c r="J352" s="34">
        <v>0.69</v>
      </c>
      <c r="K352" s="35">
        <f t="shared" si="343"/>
        <v>303.398865</v>
      </c>
      <c r="L352" s="36">
        <f t="shared" si="344"/>
        <v>73.03</v>
      </c>
      <c r="M352" s="37">
        <v>1.4E-2</v>
      </c>
      <c r="N352" s="37">
        <f t="shared" si="345"/>
        <v>6.1559189999999999</v>
      </c>
      <c r="O352" s="35">
        <f t="shared" si="346"/>
        <v>449.56676456999998</v>
      </c>
      <c r="P352" s="38">
        <f t="shared" si="266"/>
        <v>752.96562956999992</v>
      </c>
      <c r="Q352" s="39"/>
    </row>
    <row r="353" spans="1:17" x14ac:dyDescent="0.25">
      <c r="A353" s="122" t="str">
        <f>IF(TRIM(G353)&lt;&gt;"",COUNTA(G$9:$G353)&amp;"","")</f>
        <v>287</v>
      </c>
      <c r="B353" s="123" t="s">
        <v>609</v>
      </c>
      <c r="C353" s="123" t="s">
        <v>609</v>
      </c>
      <c r="D353" s="50"/>
      <c r="E353" s="111" t="s">
        <v>615</v>
      </c>
      <c r="F353" s="124">
        <f>F348*13.5</f>
        <v>399.73500000000001</v>
      </c>
      <c r="G353" s="125" t="s">
        <v>214</v>
      </c>
      <c r="H353" s="33">
        <v>0.1</v>
      </c>
      <c r="I353" s="82">
        <f t="shared" si="342"/>
        <v>439.70850000000002</v>
      </c>
      <c r="J353" s="34">
        <v>2.4</v>
      </c>
      <c r="K353" s="35">
        <f t="shared" si="343"/>
        <v>1055.3004000000001</v>
      </c>
      <c r="L353" s="36">
        <f t="shared" si="344"/>
        <v>73.03</v>
      </c>
      <c r="M353" s="37">
        <v>5.0000000000000001E-3</v>
      </c>
      <c r="N353" s="37">
        <f t="shared" si="345"/>
        <v>2.1985425000000003</v>
      </c>
      <c r="O353" s="35">
        <f t="shared" si="346"/>
        <v>160.55955877500003</v>
      </c>
      <c r="P353" s="38">
        <f t="shared" si="266"/>
        <v>1215.859958775</v>
      </c>
      <c r="Q353" s="39"/>
    </row>
    <row r="354" spans="1:17" x14ac:dyDescent="0.25">
      <c r="A354" s="122" t="str">
        <f>IF(TRIM(G354)&lt;&gt;"",COUNTA(G$9:$G354)&amp;"","")</f>
        <v>288</v>
      </c>
      <c r="B354" s="123" t="s">
        <v>609</v>
      </c>
      <c r="C354" s="123" t="s">
        <v>609</v>
      </c>
      <c r="D354" s="50"/>
      <c r="E354" s="111" t="s">
        <v>706</v>
      </c>
      <c r="F354" s="124">
        <f>F348*2</f>
        <v>59.22</v>
      </c>
      <c r="G354" s="125" t="s">
        <v>228</v>
      </c>
      <c r="H354" s="33">
        <v>0.1</v>
      </c>
      <c r="I354" s="82">
        <f t="shared" si="342"/>
        <v>65.141999999999996</v>
      </c>
      <c r="J354" s="34">
        <v>0.05</v>
      </c>
      <c r="K354" s="35">
        <f t="shared" si="343"/>
        <v>3.2570999999999999</v>
      </c>
      <c r="L354" s="36">
        <f t="shared" si="344"/>
        <v>73.03</v>
      </c>
      <c r="M354" s="37">
        <v>1.6E-2</v>
      </c>
      <c r="N354" s="37">
        <f t="shared" si="345"/>
        <v>1.0422719999999999</v>
      </c>
      <c r="O354" s="35">
        <f t="shared" si="346"/>
        <v>76.117124159999989</v>
      </c>
      <c r="P354" s="38">
        <f t="shared" si="266"/>
        <v>79.374224159999983</v>
      </c>
      <c r="Q354" s="39"/>
    </row>
    <row r="355" spans="1:17" x14ac:dyDescent="0.25">
      <c r="A355" s="122" t="str">
        <f>IF(TRIM(G355)&lt;&gt;"",COUNTA(G$9:$G355)&amp;"","")</f>
        <v>289</v>
      </c>
      <c r="B355" s="123" t="s">
        <v>609</v>
      </c>
      <c r="C355" s="123" t="s">
        <v>609</v>
      </c>
      <c r="D355" s="50"/>
      <c r="E355" s="211" t="s">
        <v>647</v>
      </c>
      <c r="F355" s="193">
        <v>30.14</v>
      </c>
      <c r="G355" s="193" t="s">
        <v>228</v>
      </c>
      <c r="H355" s="33"/>
      <c r="I355" s="82"/>
      <c r="J355" s="34"/>
      <c r="K355" s="35"/>
      <c r="L355" s="36"/>
      <c r="M355" s="37"/>
      <c r="N355" s="37"/>
      <c r="O355" s="35"/>
      <c r="P355" s="38">
        <f t="shared" si="266"/>
        <v>0</v>
      </c>
      <c r="Q355" s="39"/>
    </row>
    <row r="356" spans="1:17" ht="30" x14ac:dyDescent="0.25">
      <c r="A356" s="122" t="str">
        <f>IF(TRIM(G356)&lt;&gt;"",COUNTA(G$9:$G356)&amp;"","")</f>
        <v>290</v>
      </c>
      <c r="B356" s="123" t="s">
        <v>609</v>
      </c>
      <c r="C356" s="123" t="s">
        <v>609</v>
      </c>
      <c r="D356" s="50"/>
      <c r="E356" s="111" t="s">
        <v>648</v>
      </c>
      <c r="F356" s="124">
        <f>F355</f>
        <v>30.14</v>
      </c>
      <c r="G356" s="125" t="s">
        <v>228</v>
      </c>
      <c r="H356" s="33">
        <v>0.1</v>
      </c>
      <c r="I356" s="82">
        <f t="shared" ref="I356:I361" si="347">IF(F356=0,"",F356+(F356*H356))</f>
        <v>33.154000000000003</v>
      </c>
      <c r="J356" s="34">
        <f>9.61/10*14</f>
        <v>13.453999999999999</v>
      </c>
      <c r="K356" s="35">
        <f t="shared" ref="K356:K361" si="348">IF(F356=0,"",J356*I356)</f>
        <v>446.05391600000002</v>
      </c>
      <c r="L356" s="36">
        <f t="shared" ref="L356:L361" si="349">IF(F356=0,"",L$14)</f>
        <v>73.03</v>
      </c>
      <c r="M356" s="37">
        <f>0.16/10*14</f>
        <v>0.224</v>
      </c>
      <c r="N356" s="37">
        <f t="shared" ref="N356:N361" si="350">IF(F356=0,"",M356*I356)</f>
        <v>7.4264960000000011</v>
      </c>
      <c r="O356" s="35">
        <f t="shared" ref="O356:O361" si="351">IF(F356=0,"",N356*L356)</f>
        <v>542.3570028800001</v>
      </c>
      <c r="P356" s="38">
        <f t="shared" si="266"/>
        <v>988.41091888000005</v>
      </c>
      <c r="Q356" s="39"/>
    </row>
    <row r="357" spans="1:17" x14ac:dyDescent="0.25">
      <c r="A357" s="122" t="str">
        <f>IF(TRIM(G357)&lt;&gt;"",COUNTA(G$9:$G357)&amp;"","")</f>
        <v>291</v>
      </c>
      <c r="B357" s="123" t="s">
        <v>609</v>
      </c>
      <c r="C357" s="123" t="s">
        <v>609</v>
      </c>
      <c r="D357" s="50"/>
      <c r="E357" s="111" t="s">
        <v>612</v>
      </c>
      <c r="F357" s="124">
        <f>F355</f>
        <v>30.14</v>
      </c>
      <c r="G357" s="125" t="s">
        <v>228</v>
      </c>
      <c r="H357" s="33">
        <v>0.1</v>
      </c>
      <c r="I357" s="82">
        <f t="shared" si="347"/>
        <v>33.154000000000003</v>
      </c>
      <c r="J357" s="34">
        <v>1.51</v>
      </c>
      <c r="K357" s="35">
        <f t="shared" si="348"/>
        <v>50.062540000000006</v>
      </c>
      <c r="L357" s="36">
        <f t="shared" si="349"/>
        <v>73.03</v>
      </c>
      <c r="M357" s="37">
        <v>3.5999999999999997E-2</v>
      </c>
      <c r="N357" s="37">
        <f t="shared" si="350"/>
        <v>1.1935439999999999</v>
      </c>
      <c r="O357" s="35">
        <f t="shared" si="351"/>
        <v>87.164518319999999</v>
      </c>
      <c r="P357" s="38">
        <f t="shared" si="266"/>
        <v>137.22705832</v>
      </c>
      <c r="Q357" s="39"/>
    </row>
    <row r="358" spans="1:17" x14ac:dyDescent="0.25">
      <c r="A358" s="122" t="str">
        <f>IF(TRIM(G358)&lt;&gt;"",COUNTA(G$9:$G358)&amp;"","")</f>
        <v>292</v>
      </c>
      <c r="B358" s="123" t="s">
        <v>609</v>
      </c>
      <c r="C358" s="123" t="s">
        <v>609</v>
      </c>
      <c r="D358" s="50"/>
      <c r="E358" s="111" t="s">
        <v>613</v>
      </c>
      <c r="F358" s="124">
        <f>F355*13.58</f>
        <v>409.30119999999999</v>
      </c>
      <c r="G358" s="125" t="s">
        <v>214</v>
      </c>
      <c r="H358" s="33">
        <v>0.1</v>
      </c>
      <c r="I358" s="82">
        <f t="shared" si="347"/>
        <v>450.23131999999998</v>
      </c>
      <c r="J358" s="34">
        <v>0.54</v>
      </c>
      <c r="K358" s="35">
        <f t="shared" si="348"/>
        <v>243.1249128</v>
      </c>
      <c r="L358" s="36">
        <f t="shared" si="349"/>
        <v>73.03</v>
      </c>
      <c r="M358" s="37">
        <v>1.7000000000000001E-2</v>
      </c>
      <c r="N358" s="37">
        <f t="shared" si="350"/>
        <v>7.6539324400000002</v>
      </c>
      <c r="O358" s="35">
        <f t="shared" si="351"/>
        <v>558.9666860932</v>
      </c>
      <c r="P358" s="38">
        <f t="shared" si="266"/>
        <v>802.09159889319994</v>
      </c>
      <c r="Q358" s="39"/>
    </row>
    <row r="359" spans="1:17" x14ac:dyDescent="0.25">
      <c r="A359" s="122" t="str">
        <f>IF(TRIM(G359)&lt;&gt;"",COUNTA(G$9:$G359)&amp;"","")</f>
        <v>293</v>
      </c>
      <c r="B359" s="123" t="s">
        <v>609</v>
      </c>
      <c r="C359" s="123" t="s">
        <v>609</v>
      </c>
      <c r="D359" s="50"/>
      <c r="E359" s="111" t="s">
        <v>614</v>
      </c>
      <c r="F359" s="124">
        <f>F355*13.58</f>
        <v>409.30119999999999</v>
      </c>
      <c r="G359" s="125" t="s">
        <v>214</v>
      </c>
      <c r="H359" s="33">
        <v>0.1</v>
      </c>
      <c r="I359" s="82">
        <f t="shared" si="347"/>
        <v>450.23131999999998</v>
      </c>
      <c r="J359" s="34">
        <v>0.69</v>
      </c>
      <c r="K359" s="35">
        <f t="shared" si="348"/>
        <v>310.65961079999994</v>
      </c>
      <c r="L359" s="36">
        <f t="shared" si="349"/>
        <v>73.03</v>
      </c>
      <c r="M359" s="37">
        <v>1.4E-2</v>
      </c>
      <c r="N359" s="37">
        <f t="shared" si="350"/>
        <v>6.3032384800000001</v>
      </c>
      <c r="O359" s="35">
        <f t="shared" si="351"/>
        <v>460.32550619440002</v>
      </c>
      <c r="P359" s="38">
        <f t="shared" si="266"/>
        <v>770.98511699439996</v>
      </c>
      <c r="Q359" s="39"/>
    </row>
    <row r="360" spans="1:17" x14ac:dyDescent="0.25">
      <c r="A360" s="122" t="str">
        <f>IF(TRIM(G360)&lt;&gt;"",COUNTA(G$9:$G360)&amp;"","")</f>
        <v>294</v>
      </c>
      <c r="B360" s="123" t="s">
        <v>609</v>
      </c>
      <c r="C360" s="123" t="s">
        <v>609</v>
      </c>
      <c r="D360" s="50"/>
      <c r="E360" s="111" t="s">
        <v>615</v>
      </c>
      <c r="F360" s="124">
        <f>F355*13.58</f>
        <v>409.30119999999999</v>
      </c>
      <c r="G360" s="125" t="s">
        <v>214</v>
      </c>
      <c r="H360" s="33">
        <v>0.1</v>
      </c>
      <c r="I360" s="82">
        <f t="shared" si="347"/>
        <v>450.23131999999998</v>
      </c>
      <c r="J360" s="34">
        <v>2.4</v>
      </c>
      <c r="K360" s="35">
        <f t="shared" si="348"/>
        <v>1080.5551679999999</v>
      </c>
      <c r="L360" s="36">
        <f t="shared" si="349"/>
        <v>73.03</v>
      </c>
      <c r="M360" s="37">
        <v>5.0000000000000001E-3</v>
      </c>
      <c r="N360" s="37">
        <f t="shared" si="350"/>
        <v>2.2511565999999998</v>
      </c>
      <c r="O360" s="35">
        <f t="shared" si="351"/>
        <v>164.40196649799998</v>
      </c>
      <c r="P360" s="38">
        <f t="shared" si="266"/>
        <v>1244.957134498</v>
      </c>
      <c r="Q360" s="39"/>
    </row>
    <row r="361" spans="1:17" x14ac:dyDescent="0.25">
      <c r="A361" s="122" t="str">
        <f>IF(TRIM(G361)&lt;&gt;"",COUNTA(G$9:$G361)&amp;"","")</f>
        <v>295</v>
      </c>
      <c r="B361" s="123" t="s">
        <v>609</v>
      </c>
      <c r="C361" s="123" t="s">
        <v>609</v>
      </c>
      <c r="D361" s="50"/>
      <c r="E361" s="111" t="s">
        <v>706</v>
      </c>
      <c r="F361" s="124">
        <f>F355*2</f>
        <v>60.28</v>
      </c>
      <c r="G361" s="125" t="s">
        <v>228</v>
      </c>
      <c r="H361" s="33">
        <v>0.1</v>
      </c>
      <c r="I361" s="82">
        <f t="shared" si="347"/>
        <v>66.308000000000007</v>
      </c>
      <c r="J361" s="34">
        <v>0.05</v>
      </c>
      <c r="K361" s="35">
        <f t="shared" si="348"/>
        <v>3.3154000000000003</v>
      </c>
      <c r="L361" s="36">
        <f t="shared" si="349"/>
        <v>73.03</v>
      </c>
      <c r="M361" s="37">
        <v>1.6E-2</v>
      </c>
      <c r="N361" s="37">
        <f t="shared" si="350"/>
        <v>1.0609280000000001</v>
      </c>
      <c r="O361" s="35">
        <f t="shared" si="351"/>
        <v>77.479571840000006</v>
      </c>
      <c r="P361" s="38">
        <f t="shared" si="266"/>
        <v>80.794971840000002</v>
      </c>
      <c r="Q361" s="39"/>
    </row>
    <row r="362" spans="1:17" x14ac:dyDescent="0.25">
      <c r="A362" s="122" t="str">
        <f>IF(TRIM(G362)&lt;&gt;"",COUNTA(G$9:$G362)&amp;"","")</f>
        <v>296</v>
      </c>
      <c r="B362" s="123" t="s">
        <v>609</v>
      </c>
      <c r="C362" s="123" t="s">
        <v>609</v>
      </c>
      <c r="D362" s="50"/>
      <c r="E362" s="211" t="s">
        <v>649</v>
      </c>
      <c r="F362" s="193">
        <v>10.42</v>
      </c>
      <c r="G362" s="193" t="s">
        <v>228</v>
      </c>
      <c r="H362" s="33"/>
      <c r="I362" s="82"/>
      <c r="J362" s="34"/>
      <c r="K362" s="35"/>
      <c r="L362" s="36"/>
      <c r="M362" s="37"/>
      <c r="N362" s="37"/>
      <c r="O362" s="35"/>
      <c r="P362" s="38">
        <f t="shared" si="266"/>
        <v>0</v>
      </c>
      <c r="Q362" s="39"/>
    </row>
    <row r="363" spans="1:17" ht="30" x14ac:dyDescent="0.25">
      <c r="A363" s="122" t="str">
        <f>IF(TRIM(G363)&lt;&gt;"",COUNTA(G$9:$G363)&amp;"","")</f>
        <v>297</v>
      </c>
      <c r="B363" s="123" t="s">
        <v>609</v>
      </c>
      <c r="C363" s="123" t="s">
        <v>609</v>
      </c>
      <c r="D363" s="50"/>
      <c r="E363" s="111" t="s">
        <v>650</v>
      </c>
      <c r="F363" s="124">
        <f>F362</f>
        <v>10.42</v>
      </c>
      <c r="G363" s="125" t="s">
        <v>228</v>
      </c>
      <c r="H363" s="33">
        <v>0.1</v>
      </c>
      <c r="I363" s="82">
        <f t="shared" ref="I363:I368" si="352">IF(F363=0,"",F363+(F363*H363))</f>
        <v>11.462</v>
      </c>
      <c r="J363" s="34">
        <f>9.61/10*14</f>
        <v>13.453999999999999</v>
      </c>
      <c r="K363" s="35">
        <f t="shared" ref="K363:K368" si="353">IF(F363=0,"",J363*I363)</f>
        <v>154.20974799999999</v>
      </c>
      <c r="L363" s="36">
        <f t="shared" ref="L363:L368" si="354">IF(F363=0,"",L$14)</f>
        <v>73.03</v>
      </c>
      <c r="M363" s="37">
        <f>0.16/10*14</f>
        <v>0.224</v>
      </c>
      <c r="N363" s="37">
        <f t="shared" ref="N363:N368" si="355">IF(F363=0,"",M363*I363)</f>
        <v>2.567488</v>
      </c>
      <c r="O363" s="35">
        <f t="shared" ref="O363:O368" si="356">IF(F363=0,"",N363*L363)</f>
        <v>187.50364863999999</v>
      </c>
      <c r="P363" s="38">
        <f t="shared" si="266"/>
        <v>341.71339663999998</v>
      </c>
      <c r="Q363" s="39"/>
    </row>
    <row r="364" spans="1:17" x14ac:dyDescent="0.25">
      <c r="A364" s="122" t="str">
        <f>IF(TRIM(G364)&lt;&gt;"",COUNTA(G$9:$G364)&amp;"","")</f>
        <v>298</v>
      </c>
      <c r="B364" s="123" t="s">
        <v>609</v>
      </c>
      <c r="C364" s="123" t="s">
        <v>609</v>
      </c>
      <c r="D364" s="50"/>
      <c r="E364" s="111" t="s">
        <v>612</v>
      </c>
      <c r="F364" s="124">
        <f>F362</f>
        <v>10.42</v>
      </c>
      <c r="G364" s="125" t="s">
        <v>228</v>
      </c>
      <c r="H364" s="33">
        <v>0.1</v>
      </c>
      <c r="I364" s="82">
        <f t="shared" si="352"/>
        <v>11.462</v>
      </c>
      <c r="J364" s="34">
        <v>1.51</v>
      </c>
      <c r="K364" s="35">
        <f t="shared" si="353"/>
        <v>17.30762</v>
      </c>
      <c r="L364" s="36">
        <f t="shared" si="354"/>
        <v>73.03</v>
      </c>
      <c r="M364" s="37">
        <v>3.5999999999999997E-2</v>
      </c>
      <c r="N364" s="37">
        <f t="shared" si="355"/>
        <v>0.41263199999999994</v>
      </c>
      <c r="O364" s="35">
        <f t="shared" si="356"/>
        <v>30.134514959999997</v>
      </c>
      <c r="P364" s="38">
        <f t="shared" si="266"/>
        <v>47.442134959999997</v>
      </c>
      <c r="Q364" s="39"/>
    </row>
    <row r="365" spans="1:17" x14ac:dyDescent="0.25">
      <c r="A365" s="122" t="str">
        <f>IF(TRIM(G365)&lt;&gt;"",COUNTA(G$9:$G365)&amp;"","")</f>
        <v>299</v>
      </c>
      <c r="B365" s="123" t="s">
        <v>609</v>
      </c>
      <c r="C365" s="123" t="s">
        <v>609</v>
      </c>
      <c r="D365" s="50"/>
      <c r="E365" s="111" t="s">
        <v>613</v>
      </c>
      <c r="F365" s="124">
        <f>F362*13.33</f>
        <v>138.89859999999999</v>
      </c>
      <c r="G365" s="125" t="s">
        <v>214</v>
      </c>
      <c r="H365" s="33">
        <v>0.1</v>
      </c>
      <c r="I365" s="82">
        <f t="shared" si="352"/>
        <v>152.78845999999999</v>
      </c>
      <c r="J365" s="34">
        <v>0.54</v>
      </c>
      <c r="K365" s="35">
        <f t="shared" si="353"/>
        <v>82.505768399999994</v>
      </c>
      <c r="L365" s="36">
        <f t="shared" si="354"/>
        <v>73.03</v>
      </c>
      <c r="M365" s="37">
        <v>1.7000000000000001E-2</v>
      </c>
      <c r="N365" s="37">
        <f t="shared" si="355"/>
        <v>2.5974038199999998</v>
      </c>
      <c r="O365" s="35">
        <f t="shared" si="356"/>
        <v>189.6884009746</v>
      </c>
      <c r="P365" s="38">
        <f t="shared" si="266"/>
        <v>272.19416937459999</v>
      </c>
      <c r="Q365" s="39"/>
    </row>
    <row r="366" spans="1:17" x14ac:dyDescent="0.25">
      <c r="A366" s="122" t="str">
        <f>IF(TRIM(G366)&lt;&gt;"",COUNTA(G$9:$G366)&amp;"","")</f>
        <v>300</v>
      </c>
      <c r="B366" s="123" t="s">
        <v>609</v>
      </c>
      <c r="C366" s="123" t="s">
        <v>609</v>
      </c>
      <c r="D366" s="50"/>
      <c r="E366" s="111" t="s">
        <v>614</v>
      </c>
      <c r="F366" s="124">
        <f>F362*13.33</f>
        <v>138.89859999999999</v>
      </c>
      <c r="G366" s="125" t="s">
        <v>214</v>
      </c>
      <c r="H366" s="33">
        <v>0.1</v>
      </c>
      <c r="I366" s="82">
        <f t="shared" si="352"/>
        <v>152.78845999999999</v>
      </c>
      <c r="J366" s="34">
        <v>0.69</v>
      </c>
      <c r="K366" s="35">
        <f t="shared" si="353"/>
        <v>105.42403739999999</v>
      </c>
      <c r="L366" s="36">
        <f t="shared" si="354"/>
        <v>73.03</v>
      </c>
      <c r="M366" s="37">
        <v>1.4E-2</v>
      </c>
      <c r="N366" s="37">
        <f t="shared" si="355"/>
        <v>2.1390384399999998</v>
      </c>
      <c r="O366" s="35">
        <f t="shared" si="356"/>
        <v>156.21397727319999</v>
      </c>
      <c r="P366" s="38">
        <f t="shared" si="266"/>
        <v>261.63801467319996</v>
      </c>
      <c r="Q366" s="39"/>
    </row>
    <row r="367" spans="1:17" x14ac:dyDescent="0.25">
      <c r="A367" s="122" t="str">
        <f>IF(TRIM(G367)&lt;&gt;"",COUNTA(G$9:$G367)&amp;"","")</f>
        <v>301</v>
      </c>
      <c r="B367" s="123" t="s">
        <v>609</v>
      </c>
      <c r="C367" s="123" t="s">
        <v>609</v>
      </c>
      <c r="D367" s="50"/>
      <c r="E367" s="111" t="s">
        <v>615</v>
      </c>
      <c r="F367" s="124">
        <f>F362*13.33</f>
        <v>138.89859999999999</v>
      </c>
      <c r="G367" s="125" t="s">
        <v>214</v>
      </c>
      <c r="H367" s="33">
        <v>0.1</v>
      </c>
      <c r="I367" s="82">
        <f t="shared" si="352"/>
        <v>152.78845999999999</v>
      </c>
      <c r="J367" s="34">
        <v>2.4</v>
      </c>
      <c r="K367" s="35">
        <f t="shared" si="353"/>
        <v>366.69230399999998</v>
      </c>
      <c r="L367" s="36">
        <f t="shared" si="354"/>
        <v>73.03</v>
      </c>
      <c r="M367" s="37">
        <v>5.0000000000000001E-3</v>
      </c>
      <c r="N367" s="37">
        <f t="shared" si="355"/>
        <v>0.76394229999999996</v>
      </c>
      <c r="O367" s="35">
        <f t="shared" si="356"/>
        <v>55.790706168999996</v>
      </c>
      <c r="P367" s="38">
        <f t="shared" si="266"/>
        <v>422.48301016899995</v>
      </c>
      <c r="Q367" s="39"/>
    </row>
    <row r="368" spans="1:17" x14ac:dyDescent="0.25">
      <c r="A368" s="122" t="str">
        <f>IF(TRIM(G368)&lt;&gt;"",COUNTA(G$9:$G368)&amp;"","")</f>
        <v>302</v>
      </c>
      <c r="B368" s="123" t="s">
        <v>609</v>
      </c>
      <c r="C368" s="123" t="s">
        <v>609</v>
      </c>
      <c r="D368" s="50"/>
      <c r="E368" s="111" t="s">
        <v>706</v>
      </c>
      <c r="F368" s="124">
        <f>F362*2</f>
        <v>20.84</v>
      </c>
      <c r="G368" s="125" t="s">
        <v>228</v>
      </c>
      <c r="H368" s="33">
        <v>0.1</v>
      </c>
      <c r="I368" s="82">
        <f t="shared" si="352"/>
        <v>22.923999999999999</v>
      </c>
      <c r="J368" s="34">
        <v>0.05</v>
      </c>
      <c r="K368" s="35">
        <f t="shared" si="353"/>
        <v>1.1462000000000001</v>
      </c>
      <c r="L368" s="36">
        <f t="shared" si="354"/>
        <v>73.03</v>
      </c>
      <c r="M368" s="37">
        <v>1.6E-2</v>
      </c>
      <c r="N368" s="37">
        <f t="shared" si="355"/>
        <v>0.366784</v>
      </c>
      <c r="O368" s="35">
        <f t="shared" si="356"/>
        <v>26.786235520000002</v>
      </c>
      <c r="P368" s="38">
        <f t="shared" si="266"/>
        <v>27.932435520000002</v>
      </c>
      <c r="Q368" s="39"/>
    </row>
    <row r="369" spans="1:17" x14ac:dyDescent="0.25">
      <c r="A369" s="122" t="str">
        <f>IF(TRIM(G369)&lt;&gt;"",COUNTA(G$9:$G369)&amp;"","")</f>
        <v>303</v>
      </c>
      <c r="B369" s="123" t="s">
        <v>609</v>
      </c>
      <c r="C369" s="123" t="s">
        <v>609</v>
      </c>
      <c r="D369" s="50"/>
      <c r="E369" s="211" t="s">
        <v>651</v>
      </c>
      <c r="F369" s="193">
        <v>24.37</v>
      </c>
      <c r="G369" s="193" t="s">
        <v>228</v>
      </c>
      <c r="H369" s="33"/>
      <c r="I369" s="82"/>
      <c r="J369" s="34"/>
      <c r="K369" s="35"/>
      <c r="L369" s="36"/>
      <c r="M369" s="37"/>
      <c r="N369" s="37"/>
      <c r="O369" s="35"/>
      <c r="P369" s="38">
        <f t="shared" si="266"/>
        <v>0</v>
      </c>
      <c r="Q369" s="39"/>
    </row>
    <row r="370" spans="1:17" ht="30" x14ac:dyDescent="0.25">
      <c r="A370" s="122" t="str">
        <f>IF(TRIM(G370)&lt;&gt;"",COUNTA(G$9:$G370)&amp;"","")</f>
        <v>304</v>
      </c>
      <c r="B370" s="123" t="s">
        <v>609</v>
      </c>
      <c r="C370" s="123" t="s">
        <v>609</v>
      </c>
      <c r="D370" s="50"/>
      <c r="E370" s="111" t="s">
        <v>652</v>
      </c>
      <c r="F370" s="124">
        <f>F369</f>
        <v>24.37</v>
      </c>
      <c r="G370" s="125" t="s">
        <v>228</v>
      </c>
      <c r="H370" s="33">
        <v>0.1</v>
      </c>
      <c r="I370" s="82">
        <f t="shared" ref="I370:I375" si="357">IF(F370=0,"",F370+(F370*H370))</f>
        <v>26.807000000000002</v>
      </c>
      <c r="J370" s="34">
        <f>9.61/10*18</f>
        <v>17.297999999999998</v>
      </c>
      <c r="K370" s="35">
        <f t="shared" ref="K370:K375" si="358">IF(F370=0,"",J370*I370)</f>
        <v>463.70748600000002</v>
      </c>
      <c r="L370" s="36">
        <f t="shared" ref="L370:L375" si="359">IF(F370=0,"",L$14)</f>
        <v>73.03</v>
      </c>
      <c r="M370" s="37">
        <f>0.16/10*18</f>
        <v>0.28800000000000003</v>
      </c>
      <c r="N370" s="37">
        <f t="shared" ref="N370:N375" si="360">IF(F370=0,"",M370*I370)</f>
        <v>7.7204160000000019</v>
      </c>
      <c r="O370" s="35">
        <f t="shared" ref="O370:O375" si="361">IF(F370=0,"",N370*L370)</f>
        <v>563.82198048000021</v>
      </c>
      <c r="P370" s="38">
        <f t="shared" si="266"/>
        <v>1027.5294664800003</v>
      </c>
      <c r="Q370" s="39"/>
    </row>
    <row r="371" spans="1:17" x14ac:dyDescent="0.25">
      <c r="A371" s="122" t="str">
        <f>IF(TRIM(G371)&lt;&gt;"",COUNTA(G$9:$G371)&amp;"","")</f>
        <v>305</v>
      </c>
      <c r="B371" s="123" t="s">
        <v>609</v>
      </c>
      <c r="C371" s="123" t="s">
        <v>609</v>
      </c>
      <c r="D371" s="50"/>
      <c r="E371" s="111" t="s">
        <v>612</v>
      </c>
      <c r="F371" s="124">
        <f>F369</f>
        <v>24.37</v>
      </c>
      <c r="G371" s="125" t="s">
        <v>228</v>
      </c>
      <c r="H371" s="33">
        <v>0.1</v>
      </c>
      <c r="I371" s="82">
        <f t="shared" si="357"/>
        <v>26.807000000000002</v>
      </c>
      <c r="J371" s="34">
        <v>1.51</v>
      </c>
      <c r="K371" s="35">
        <f t="shared" si="358"/>
        <v>40.478570000000005</v>
      </c>
      <c r="L371" s="36">
        <f t="shared" si="359"/>
        <v>73.03</v>
      </c>
      <c r="M371" s="37">
        <v>3.5999999999999997E-2</v>
      </c>
      <c r="N371" s="37">
        <f t="shared" si="360"/>
        <v>0.96505200000000002</v>
      </c>
      <c r="O371" s="35">
        <f t="shared" si="361"/>
        <v>70.477747559999997</v>
      </c>
      <c r="P371" s="38">
        <f t="shared" si="266"/>
        <v>110.95631756</v>
      </c>
      <c r="Q371" s="39"/>
    </row>
    <row r="372" spans="1:17" x14ac:dyDescent="0.25">
      <c r="A372" s="122" t="str">
        <f>IF(TRIM(G372)&lt;&gt;"",COUNTA(G$9:$G372)&amp;"","")</f>
        <v>306</v>
      </c>
      <c r="B372" s="123" t="s">
        <v>609</v>
      </c>
      <c r="C372" s="123" t="s">
        <v>609</v>
      </c>
      <c r="D372" s="50"/>
      <c r="E372" s="111" t="s">
        <v>613</v>
      </c>
      <c r="F372" s="124">
        <f>F369*16.5</f>
        <v>402.10500000000002</v>
      </c>
      <c r="G372" s="125" t="s">
        <v>214</v>
      </c>
      <c r="H372" s="33">
        <v>0.1</v>
      </c>
      <c r="I372" s="82">
        <f t="shared" si="357"/>
        <v>442.31550000000004</v>
      </c>
      <c r="J372" s="34">
        <v>0.54</v>
      </c>
      <c r="K372" s="35">
        <f t="shared" si="358"/>
        <v>238.85037000000003</v>
      </c>
      <c r="L372" s="36">
        <f t="shared" si="359"/>
        <v>73.03</v>
      </c>
      <c r="M372" s="37">
        <v>1.7000000000000001E-2</v>
      </c>
      <c r="N372" s="37">
        <f t="shared" si="360"/>
        <v>7.5193635000000016</v>
      </c>
      <c r="O372" s="35">
        <f t="shared" si="361"/>
        <v>549.1391164050001</v>
      </c>
      <c r="P372" s="38">
        <f t="shared" si="266"/>
        <v>787.98948640500009</v>
      </c>
      <c r="Q372" s="39"/>
    </row>
    <row r="373" spans="1:17" x14ac:dyDescent="0.25">
      <c r="A373" s="122" t="str">
        <f>IF(TRIM(G373)&lt;&gt;"",COUNTA(G$9:$G373)&amp;"","")</f>
        <v>307</v>
      </c>
      <c r="B373" s="123" t="s">
        <v>609</v>
      </c>
      <c r="C373" s="123" t="s">
        <v>609</v>
      </c>
      <c r="D373" s="50"/>
      <c r="E373" s="111" t="s">
        <v>614</v>
      </c>
      <c r="F373" s="124">
        <f>F369*16.5</f>
        <v>402.10500000000002</v>
      </c>
      <c r="G373" s="125" t="s">
        <v>214</v>
      </c>
      <c r="H373" s="33">
        <v>0.1</v>
      </c>
      <c r="I373" s="82">
        <f t="shared" si="357"/>
        <v>442.31550000000004</v>
      </c>
      <c r="J373" s="34">
        <v>0.69</v>
      </c>
      <c r="K373" s="35">
        <f t="shared" si="358"/>
        <v>305.19769500000001</v>
      </c>
      <c r="L373" s="36">
        <f t="shared" si="359"/>
        <v>73.03</v>
      </c>
      <c r="M373" s="37">
        <v>1.4E-2</v>
      </c>
      <c r="N373" s="37">
        <f t="shared" si="360"/>
        <v>6.1924170000000007</v>
      </c>
      <c r="O373" s="35">
        <f t="shared" si="361"/>
        <v>452.23221351000007</v>
      </c>
      <c r="P373" s="38">
        <f t="shared" si="266"/>
        <v>757.42990851000013</v>
      </c>
      <c r="Q373" s="39"/>
    </row>
    <row r="374" spans="1:17" x14ac:dyDescent="0.25">
      <c r="A374" s="122" t="str">
        <f>IF(TRIM(G374)&lt;&gt;"",COUNTA(G$9:$G374)&amp;"","")</f>
        <v>308</v>
      </c>
      <c r="B374" s="123" t="s">
        <v>609</v>
      </c>
      <c r="C374" s="123" t="s">
        <v>609</v>
      </c>
      <c r="D374" s="50"/>
      <c r="E374" s="111" t="s">
        <v>615</v>
      </c>
      <c r="F374" s="124">
        <f>F369*16.5</f>
        <v>402.10500000000002</v>
      </c>
      <c r="G374" s="125" t="s">
        <v>214</v>
      </c>
      <c r="H374" s="33">
        <v>0.1</v>
      </c>
      <c r="I374" s="82">
        <f t="shared" si="357"/>
        <v>442.31550000000004</v>
      </c>
      <c r="J374" s="34">
        <v>2.4</v>
      </c>
      <c r="K374" s="35">
        <f t="shared" si="358"/>
        <v>1061.5572</v>
      </c>
      <c r="L374" s="36">
        <f t="shared" si="359"/>
        <v>73.03</v>
      </c>
      <c r="M374" s="37">
        <v>5.0000000000000001E-3</v>
      </c>
      <c r="N374" s="37">
        <f t="shared" si="360"/>
        <v>2.2115775000000002</v>
      </c>
      <c r="O374" s="35">
        <f t="shared" si="361"/>
        <v>161.511504825</v>
      </c>
      <c r="P374" s="38">
        <f t="shared" si="266"/>
        <v>1223.0687048249999</v>
      </c>
      <c r="Q374" s="39"/>
    </row>
    <row r="375" spans="1:17" x14ac:dyDescent="0.25">
      <c r="A375" s="122" t="str">
        <f>IF(TRIM(G375)&lt;&gt;"",COUNTA(G$9:$G375)&amp;"","")</f>
        <v>309</v>
      </c>
      <c r="B375" s="123" t="s">
        <v>609</v>
      </c>
      <c r="C375" s="123" t="s">
        <v>609</v>
      </c>
      <c r="D375" s="50"/>
      <c r="E375" s="111" t="s">
        <v>706</v>
      </c>
      <c r="F375" s="124">
        <f>F369*2</f>
        <v>48.74</v>
      </c>
      <c r="G375" s="125" t="s">
        <v>228</v>
      </c>
      <c r="H375" s="33">
        <v>0.1</v>
      </c>
      <c r="I375" s="82">
        <f t="shared" si="357"/>
        <v>53.614000000000004</v>
      </c>
      <c r="J375" s="34">
        <v>0.05</v>
      </c>
      <c r="K375" s="35">
        <f t="shared" si="358"/>
        <v>2.6807000000000003</v>
      </c>
      <c r="L375" s="36">
        <f t="shared" si="359"/>
        <v>73.03</v>
      </c>
      <c r="M375" s="37">
        <v>1.6E-2</v>
      </c>
      <c r="N375" s="37">
        <f t="shared" si="360"/>
        <v>0.85782400000000014</v>
      </c>
      <c r="O375" s="35">
        <f t="shared" si="361"/>
        <v>62.646886720000012</v>
      </c>
      <c r="P375" s="38">
        <f t="shared" si="266"/>
        <v>65.327586720000014</v>
      </c>
      <c r="Q375" s="39"/>
    </row>
    <row r="376" spans="1:17" x14ac:dyDescent="0.25">
      <c r="A376" s="122" t="str">
        <f>IF(TRIM(G376)&lt;&gt;"",COUNTA(G$9:$G376)&amp;"","")</f>
        <v>310</v>
      </c>
      <c r="B376" s="123" t="s">
        <v>609</v>
      </c>
      <c r="C376" s="123" t="s">
        <v>609</v>
      </c>
      <c r="D376" s="50"/>
      <c r="E376" s="211" t="s">
        <v>653</v>
      </c>
      <c r="F376" s="193">
        <v>12.52</v>
      </c>
      <c r="G376" s="193" t="s">
        <v>228</v>
      </c>
      <c r="H376" s="33"/>
      <c r="I376" s="82"/>
      <c r="J376" s="34"/>
      <c r="K376" s="35"/>
      <c r="L376" s="36"/>
      <c r="M376" s="37"/>
      <c r="N376" s="37"/>
      <c r="O376" s="35"/>
      <c r="P376" s="38">
        <f t="shared" si="266"/>
        <v>0</v>
      </c>
      <c r="Q376" s="39"/>
    </row>
    <row r="377" spans="1:17" ht="30" x14ac:dyDescent="0.25">
      <c r="A377" s="122" t="str">
        <f>IF(TRIM(G377)&lt;&gt;"",COUNTA(G$9:$G377)&amp;"","")</f>
        <v>311</v>
      </c>
      <c r="B377" s="123" t="s">
        <v>609</v>
      </c>
      <c r="C377" s="123" t="s">
        <v>609</v>
      </c>
      <c r="D377" s="50"/>
      <c r="E377" s="111" t="s">
        <v>654</v>
      </c>
      <c r="F377" s="124">
        <f>F376</f>
        <v>12.52</v>
      </c>
      <c r="G377" s="125" t="s">
        <v>228</v>
      </c>
      <c r="H377" s="33">
        <v>0.1</v>
      </c>
      <c r="I377" s="82">
        <f t="shared" ref="I377:I383" si="362">IF(F377=0,"",F377+(F377*H377))</f>
        <v>13.772</v>
      </c>
      <c r="J377" s="34">
        <f>9.61/10*14</f>
        <v>13.453999999999999</v>
      </c>
      <c r="K377" s="35">
        <f t="shared" ref="K377:K383" si="363">IF(F377=0,"",J377*I377)</f>
        <v>185.288488</v>
      </c>
      <c r="L377" s="36">
        <f t="shared" ref="L377:L383" si="364">IF(F377=0,"",L$14)</f>
        <v>73.03</v>
      </c>
      <c r="M377" s="37">
        <f>0.16/10*14</f>
        <v>0.224</v>
      </c>
      <c r="N377" s="37">
        <f t="shared" ref="N377:N383" si="365">IF(F377=0,"",M377*I377)</f>
        <v>3.0849280000000001</v>
      </c>
      <c r="O377" s="35">
        <f t="shared" ref="O377:O383" si="366">IF(F377=0,"",N377*L377)</f>
        <v>225.29229184000002</v>
      </c>
      <c r="P377" s="38">
        <f t="shared" si="266"/>
        <v>410.58077983999999</v>
      </c>
      <c r="Q377" s="39"/>
    </row>
    <row r="378" spans="1:17" x14ac:dyDescent="0.25">
      <c r="A378" s="122" t="str">
        <f>IF(TRIM(G378)&lt;&gt;"",COUNTA(G$9:$G378)&amp;"","")</f>
        <v>312</v>
      </c>
      <c r="B378" s="123" t="s">
        <v>609</v>
      </c>
      <c r="C378" s="123" t="s">
        <v>609</v>
      </c>
      <c r="D378" s="50"/>
      <c r="E378" s="111" t="s">
        <v>612</v>
      </c>
      <c r="F378" s="124">
        <f>F376</f>
        <v>12.52</v>
      </c>
      <c r="G378" s="125" t="s">
        <v>228</v>
      </c>
      <c r="H378" s="33">
        <v>0.1</v>
      </c>
      <c r="I378" s="82">
        <f t="shared" si="362"/>
        <v>13.772</v>
      </c>
      <c r="J378" s="34">
        <v>1.51</v>
      </c>
      <c r="K378" s="35">
        <f t="shared" si="363"/>
        <v>20.795719999999999</v>
      </c>
      <c r="L378" s="36">
        <f t="shared" si="364"/>
        <v>73.03</v>
      </c>
      <c r="M378" s="37">
        <v>3.5999999999999997E-2</v>
      </c>
      <c r="N378" s="37">
        <f t="shared" si="365"/>
        <v>0.49579199999999995</v>
      </c>
      <c r="O378" s="35">
        <f t="shared" si="366"/>
        <v>36.207689759999994</v>
      </c>
      <c r="P378" s="38">
        <f t="shared" si="266"/>
        <v>57.003409759999997</v>
      </c>
      <c r="Q378" s="39"/>
    </row>
    <row r="379" spans="1:17" x14ac:dyDescent="0.25">
      <c r="A379" s="122" t="str">
        <f>IF(TRIM(G379)&lt;&gt;"",COUNTA(G$9:$G379)&amp;"","")</f>
        <v>313</v>
      </c>
      <c r="B379" s="123" t="s">
        <v>609</v>
      </c>
      <c r="C379" s="123" t="s">
        <v>609</v>
      </c>
      <c r="D379" s="50"/>
      <c r="E379" s="111" t="s">
        <v>613</v>
      </c>
      <c r="F379" s="124">
        <f>(F376*12.75)-F380</f>
        <v>61.072499999999991</v>
      </c>
      <c r="G379" s="125" t="s">
        <v>214</v>
      </c>
      <c r="H379" s="33">
        <v>0.1</v>
      </c>
      <c r="I379" s="82">
        <f t="shared" si="362"/>
        <v>67.179749999999984</v>
      </c>
      <c r="J379" s="34">
        <v>0.54</v>
      </c>
      <c r="K379" s="35">
        <f t="shared" si="363"/>
        <v>36.277064999999993</v>
      </c>
      <c r="L379" s="36">
        <f t="shared" si="364"/>
        <v>73.03</v>
      </c>
      <c r="M379" s="37">
        <v>1.7000000000000001E-2</v>
      </c>
      <c r="N379" s="37">
        <f t="shared" si="365"/>
        <v>1.1420557499999999</v>
      </c>
      <c r="O379" s="35">
        <f t="shared" si="366"/>
        <v>83.404331422499993</v>
      </c>
      <c r="P379" s="38">
        <f t="shared" si="266"/>
        <v>119.68139642249999</v>
      </c>
      <c r="Q379" s="39"/>
    </row>
    <row r="380" spans="1:17" x14ac:dyDescent="0.25">
      <c r="A380" s="122" t="str">
        <f>IF(TRIM(G380)&lt;&gt;"",COUNTA(G$9:$G380)&amp;"","")</f>
        <v>314</v>
      </c>
      <c r="B380" s="123" t="s">
        <v>609</v>
      </c>
      <c r="C380" s="123" t="s">
        <v>609</v>
      </c>
      <c r="D380" s="50"/>
      <c r="E380" s="111" t="s">
        <v>620</v>
      </c>
      <c r="F380" s="124">
        <f>7.73*12.75</f>
        <v>98.557500000000005</v>
      </c>
      <c r="G380" s="125" t="s">
        <v>214</v>
      </c>
      <c r="H380" s="33">
        <v>0.1</v>
      </c>
      <c r="I380" s="82">
        <f t="shared" si="362"/>
        <v>108.41325000000001</v>
      </c>
      <c r="J380" s="34">
        <v>0.68</v>
      </c>
      <c r="K380" s="35">
        <f t="shared" si="363"/>
        <v>73.721010000000007</v>
      </c>
      <c r="L380" s="36">
        <f t="shared" si="364"/>
        <v>73.03</v>
      </c>
      <c r="M380" s="37">
        <v>1.7000000000000001E-2</v>
      </c>
      <c r="N380" s="37">
        <f t="shared" si="365"/>
        <v>1.8430252500000002</v>
      </c>
      <c r="O380" s="35">
        <f t="shared" si="366"/>
        <v>134.59613400750001</v>
      </c>
      <c r="P380" s="38">
        <f t="shared" si="266"/>
        <v>208.31714400750002</v>
      </c>
      <c r="Q380" s="39"/>
    </row>
    <row r="381" spans="1:17" x14ac:dyDescent="0.25">
      <c r="A381" s="122" t="str">
        <f>IF(TRIM(G381)&lt;&gt;"",COUNTA(G$9:$G381)&amp;"","")</f>
        <v>315</v>
      </c>
      <c r="B381" s="123" t="s">
        <v>609</v>
      </c>
      <c r="C381" s="123" t="s">
        <v>609</v>
      </c>
      <c r="D381" s="50"/>
      <c r="E381" s="111" t="s">
        <v>614</v>
      </c>
      <c r="F381" s="124">
        <f>F376*12.75</f>
        <v>159.63</v>
      </c>
      <c r="G381" s="125" t="s">
        <v>214</v>
      </c>
      <c r="H381" s="33">
        <v>0.1</v>
      </c>
      <c r="I381" s="82">
        <f t="shared" si="362"/>
        <v>175.59299999999999</v>
      </c>
      <c r="J381" s="34">
        <v>0.69</v>
      </c>
      <c r="K381" s="35">
        <f t="shared" si="363"/>
        <v>121.15916999999999</v>
      </c>
      <c r="L381" s="36">
        <f t="shared" si="364"/>
        <v>73.03</v>
      </c>
      <c r="M381" s="37">
        <v>1.4E-2</v>
      </c>
      <c r="N381" s="37">
        <f t="shared" si="365"/>
        <v>2.4583019999999998</v>
      </c>
      <c r="O381" s="35">
        <f t="shared" si="366"/>
        <v>179.52979506</v>
      </c>
      <c r="P381" s="38">
        <f t="shared" si="266"/>
        <v>300.68896505999999</v>
      </c>
      <c r="Q381" s="39"/>
    </row>
    <row r="382" spans="1:17" x14ac:dyDescent="0.25">
      <c r="A382" s="122" t="str">
        <f>IF(TRIM(G382)&lt;&gt;"",COUNTA(G$9:$G382)&amp;"","")</f>
        <v>316</v>
      </c>
      <c r="B382" s="123" t="s">
        <v>609</v>
      </c>
      <c r="C382" s="123" t="s">
        <v>609</v>
      </c>
      <c r="D382" s="50"/>
      <c r="E382" s="111" t="s">
        <v>615</v>
      </c>
      <c r="F382" s="124">
        <f>F376*12.75</f>
        <v>159.63</v>
      </c>
      <c r="G382" s="125" t="s">
        <v>214</v>
      </c>
      <c r="H382" s="33">
        <v>0.1</v>
      </c>
      <c r="I382" s="82">
        <f t="shared" si="362"/>
        <v>175.59299999999999</v>
      </c>
      <c r="J382" s="34">
        <v>2.4</v>
      </c>
      <c r="K382" s="35">
        <f t="shared" si="363"/>
        <v>421.42319999999995</v>
      </c>
      <c r="L382" s="36">
        <f t="shared" si="364"/>
        <v>73.03</v>
      </c>
      <c r="M382" s="37">
        <v>5.0000000000000001E-3</v>
      </c>
      <c r="N382" s="37">
        <f t="shared" si="365"/>
        <v>0.877965</v>
      </c>
      <c r="O382" s="35">
        <f t="shared" si="366"/>
        <v>64.117783950000003</v>
      </c>
      <c r="P382" s="38">
        <f t="shared" si="266"/>
        <v>485.54098394999994</v>
      </c>
      <c r="Q382" s="39"/>
    </row>
    <row r="383" spans="1:17" x14ac:dyDescent="0.25">
      <c r="A383" s="122" t="str">
        <f>IF(TRIM(G383)&lt;&gt;"",COUNTA(G$9:$G383)&amp;"","")</f>
        <v>317</v>
      </c>
      <c r="B383" s="123" t="s">
        <v>609</v>
      </c>
      <c r="C383" s="123" t="s">
        <v>609</v>
      </c>
      <c r="D383" s="50"/>
      <c r="E383" s="111" t="s">
        <v>706</v>
      </c>
      <c r="F383" s="124">
        <f>F376*2</f>
        <v>25.04</v>
      </c>
      <c r="G383" s="125" t="s">
        <v>228</v>
      </c>
      <c r="H383" s="33">
        <v>0.1</v>
      </c>
      <c r="I383" s="82">
        <f t="shared" si="362"/>
        <v>27.544</v>
      </c>
      <c r="J383" s="34">
        <v>0.05</v>
      </c>
      <c r="K383" s="35">
        <f t="shared" si="363"/>
        <v>1.3772000000000002</v>
      </c>
      <c r="L383" s="36">
        <f t="shared" si="364"/>
        <v>73.03</v>
      </c>
      <c r="M383" s="37">
        <v>1.6E-2</v>
      </c>
      <c r="N383" s="37">
        <f t="shared" si="365"/>
        <v>0.44070400000000004</v>
      </c>
      <c r="O383" s="35">
        <f t="shared" si="366"/>
        <v>32.184613120000002</v>
      </c>
      <c r="P383" s="38">
        <f t="shared" si="266"/>
        <v>33.561813120000004</v>
      </c>
      <c r="Q383" s="39"/>
    </row>
    <row r="384" spans="1:17" x14ac:dyDescent="0.25">
      <c r="A384" s="122" t="str">
        <f>IF(TRIM(G384)&lt;&gt;"",COUNTA(G$9:$G384)&amp;"","")</f>
        <v>318</v>
      </c>
      <c r="B384" s="123" t="s">
        <v>609</v>
      </c>
      <c r="C384" s="123" t="s">
        <v>609</v>
      </c>
      <c r="D384" s="50"/>
      <c r="E384" s="211" t="s">
        <v>655</v>
      </c>
      <c r="F384" s="193">
        <v>32.14</v>
      </c>
      <c r="G384" s="193" t="s">
        <v>228</v>
      </c>
      <c r="H384" s="33"/>
      <c r="I384" s="82"/>
      <c r="J384" s="34"/>
      <c r="K384" s="35"/>
      <c r="L384" s="36"/>
      <c r="M384" s="37"/>
      <c r="N384" s="37"/>
      <c r="O384" s="35"/>
      <c r="P384" s="38">
        <f t="shared" si="266"/>
        <v>0</v>
      </c>
      <c r="Q384" s="39"/>
    </row>
    <row r="385" spans="1:17" ht="30" x14ac:dyDescent="0.25">
      <c r="A385" s="122" t="str">
        <f>IF(TRIM(G385)&lt;&gt;"",COUNTA(G$9:$G385)&amp;"","")</f>
        <v>319</v>
      </c>
      <c r="B385" s="123" t="s">
        <v>609</v>
      </c>
      <c r="C385" s="123" t="s">
        <v>609</v>
      </c>
      <c r="D385" s="50"/>
      <c r="E385" s="111" t="s">
        <v>753</v>
      </c>
      <c r="F385" s="124">
        <f>F384</f>
        <v>32.14</v>
      </c>
      <c r="G385" s="125" t="s">
        <v>228</v>
      </c>
      <c r="H385" s="33">
        <v>0.1</v>
      </c>
      <c r="I385" s="82">
        <f t="shared" ref="I385:I390" si="367">IF(F385=0,"",F385+(F385*H385))</f>
        <v>35.353999999999999</v>
      </c>
      <c r="J385" s="34">
        <f>9.61/10*12</f>
        <v>11.532</v>
      </c>
      <c r="K385" s="35">
        <f t="shared" ref="K385:K390" si="368">IF(F385=0,"",J385*I385)</f>
        <v>407.70232799999997</v>
      </c>
      <c r="L385" s="36">
        <f t="shared" ref="L385:L390" si="369">IF(F385=0,"",L$14)</f>
        <v>73.03</v>
      </c>
      <c r="M385" s="37">
        <f>0.16/10*12</f>
        <v>0.192</v>
      </c>
      <c r="N385" s="37">
        <f t="shared" ref="N385:N390" si="370">IF(F385=0,"",M385*I385)</f>
        <v>6.7879680000000002</v>
      </c>
      <c r="O385" s="35">
        <f t="shared" ref="O385:O390" si="371">IF(F385=0,"",N385*L385)</f>
        <v>495.72530304000003</v>
      </c>
      <c r="P385" s="38">
        <f t="shared" si="266"/>
        <v>903.42763104000005</v>
      </c>
      <c r="Q385" s="39"/>
    </row>
    <row r="386" spans="1:17" x14ac:dyDescent="0.25">
      <c r="A386" s="122" t="str">
        <f>IF(TRIM(G386)&lt;&gt;"",COUNTA(G$9:$G386)&amp;"","")</f>
        <v>320</v>
      </c>
      <c r="B386" s="123" t="s">
        <v>609</v>
      </c>
      <c r="C386" s="123" t="s">
        <v>609</v>
      </c>
      <c r="D386" s="50"/>
      <c r="E386" s="111" t="s">
        <v>612</v>
      </c>
      <c r="F386" s="124">
        <f>F384</f>
        <v>32.14</v>
      </c>
      <c r="G386" s="125" t="s">
        <v>228</v>
      </c>
      <c r="H386" s="33">
        <v>0.1</v>
      </c>
      <c r="I386" s="82">
        <f t="shared" si="367"/>
        <v>35.353999999999999</v>
      </c>
      <c r="J386" s="34">
        <v>1.51</v>
      </c>
      <c r="K386" s="35">
        <f t="shared" si="368"/>
        <v>53.384540000000001</v>
      </c>
      <c r="L386" s="36">
        <f t="shared" si="369"/>
        <v>73.03</v>
      </c>
      <c r="M386" s="37">
        <v>3.5999999999999997E-2</v>
      </c>
      <c r="N386" s="37">
        <f t="shared" si="370"/>
        <v>1.2727439999999999</v>
      </c>
      <c r="O386" s="35">
        <f t="shared" si="371"/>
        <v>92.948494319999995</v>
      </c>
      <c r="P386" s="38">
        <f t="shared" si="266"/>
        <v>146.33303432</v>
      </c>
      <c r="Q386" s="39"/>
    </row>
    <row r="387" spans="1:17" x14ac:dyDescent="0.25">
      <c r="A387" s="122" t="str">
        <f>IF(TRIM(G387)&lt;&gt;"",COUNTA(G$9:$G387)&amp;"","")</f>
        <v>321</v>
      </c>
      <c r="B387" s="123" t="s">
        <v>609</v>
      </c>
      <c r="C387" s="123" t="s">
        <v>609</v>
      </c>
      <c r="D387" s="50"/>
      <c r="E387" s="111" t="s">
        <v>613</v>
      </c>
      <c r="F387" s="124">
        <f>F384*12.33</f>
        <v>396.28620000000001</v>
      </c>
      <c r="G387" s="125" t="s">
        <v>214</v>
      </c>
      <c r="H387" s="33">
        <v>0.1</v>
      </c>
      <c r="I387" s="82">
        <f t="shared" si="367"/>
        <v>435.91482000000002</v>
      </c>
      <c r="J387" s="34">
        <v>0.54</v>
      </c>
      <c r="K387" s="35">
        <f t="shared" si="368"/>
        <v>235.39400280000004</v>
      </c>
      <c r="L387" s="36">
        <f t="shared" si="369"/>
        <v>73.03</v>
      </c>
      <c r="M387" s="37">
        <v>1.7000000000000001E-2</v>
      </c>
      <c r="N387" s="37">
        <f t="shared" si="370"/>
        <v>7.4105519400000013</v>
      </c>
      <c r="O387" s="35">
        <f t="shared" si="371"/>
        <v>541.19260817820009</v>
      </c>
      <c r="P387" s="38">
        <f t="shared" si="266"/>
        <v>776.58661097820016</v>
      </c>
      <c r="Q387" s="39"/>
    </row>
    <row r="388" spans="1:17" x14ac:dyDescent="0.25">
      <c r="A388" s="122" t="str">
        <f>IF(TRIM(G388)&lt;&gt;"",COUNTA(G$9:$G388)&amp;"","")</f>
        <v>322</v>
      </c>
      <c r="B388" s="123" t="s">
        <v>609</v>
      </c>
      <c r="C388" s="123" t="s">
        <v>609</v>
      </c>
      <c r="D388" s="50"/>
      <c r="E388" s="111" t="s">
        <v>614</v>
      </c>
      <c r="F388" s="124">
        <f>F384*12.33</f>
        <v>396.28620000000001</v>
      </c>
      <c r="G388" s="125" t="s">
        <v>214</v>
      </c>
      <c r="H388" s="33">
        <v>0.1</v>
      </c>
      <c r="I388" s="82">
        <f t="shared" si="367"/>
        <v>435.91482000000002</v>
      </c>
      <c r="J388" s="34">
        <v>0.69</v>
      </c>
      <c r="K388" s="35">
        <f t="shared" si="368"/>
        <v>300.78122580000002</v>
      </c>
      <c r="L388" s="36">
        <f t="shared" si="369"/>
        <v>73.03</v>
      </c>
      <c r="M388" s="37">
        <v>1.4E-2</v>
      </c>
      <c r="N388" s="37">
        <f t="shared" si="370"/>
        <v>6.1028074800000001</v>
      </c>
      <c r="O388" s="35">
        <f t="shared" si="371"/>
        <v>445.68803026440003</v>
      </c>
      <c r="P388" s="38">
        <f t="shared" si="266"/>
        <v>746.46925606440004</v>
      </c>
      <c r="Q388" s="39"/>
    </row>
    <row r="389" spans="1:17" x14ac:dyDescent="0.25">
      <c r="A389" s="122" t="str">
        <f>IF(TRIM(G389)&lt;&gt;"",COUNTA(G$9:$G389)&amp;"","")</f>
        <v>323</v>
      </c>
      <c r="B389" s="123" t="s">
        <v>609</v>
      </c>
      <c r="C389" s="123" t="s">
        <v>609</v>
      </c>
      <c r="D389" s="50"/>
      <c r="E389" s="111" t="s">
        <v>615</v>
      </c>
      <c r="F389" s="124">
        <f>F384*12.33</f>
        <v>396.28620000000001</v>
      </c>
      <c r="G389" s="125" t="s">
        <v>214</v>
      </c>
      <c r="H389" s="33">
        <v>0.1</v>
      </c>
      <c r="I389" s="82">
        <f t="shared" si="367"/>
        <v>435.91482000000002</v>
      </c>
      <c r="J389" s="34">
        <v>2.4</v>
      </c>
      <c r="K389" s="35">
        <f t="shared" si="368"/>
        <v>1046.1955680000001</v>
      </c>
      <c r="L389" s="36">
        <f t="shared" si="369"/>
        <v>73.03</v>
      </c>
      <c r="M389" s="37">
        <v>5.0000000000000001E-3</v>
      </c>
      <c r="N389" s="37">
        <f t="shared" si="370"/>
        <v>2.1795741</v>
      </c>
      <c r="O389" s="35">
        <f t="shared" si="371"/>
        <v>159.17429652300001</v>
      </c>
      <c r="P389" s="38">
        <f t="shared" si="266"/>
        <v>1205.3698645230002</v>
      </c>
      <c r="Q389" s="39"/>
    </row>
    <row r="390" spans="1:17" x14ac:dyDescent="0.25">
      <c r="A390" s="122" t="str">
        <f>IF(TRIM(G390)&lt;&gt;"",COUNTA(G$9:$G390)&amp;"","")</f>
        <v>324</v>
      </c>
      <c r="B390" s="123" t="s">
        <v>609</v>
      </c>
      <c r="C390" s="123" t="s">
        <v>609</v>
      </c>
      <c r="D390" s="50"/>
      <c r="E390" s="111" t="s">
        <v>706</v>
      </c>
      <c r="F390" s="124">
        <f>F384*2</f>
        <v>64.28</v>
      </c>
      <c r="G390" s="125" t="s">
        <v>228</v>
      </c>
      <c r="H390" s="33">
        <v>0.1</v>
      </c>
      <c r="I390" s="82">
        <f t="shared" si="367"/>
        <v>70.707999999999998</v>
      </c>
      <c r="J390" s="34">
        <v>0.05</v>
      </c>
      <c r="K390" s="35">
        <f t="shared" si="368"/>
        <v>3.5354000000000001</v>
      </c>
      <c r="L390" s="36">
        <f t="shared" si="369"/>
        <v>73.03</v>
      </c>
      <c r="M390" s="37">
        <v>1.6E-2</v>
      </c>
      <c r="N390" s="37">
        <f t="shared" si="370"/>
        <v>1.1313279999999999</v>
      </c>
      <c r="O390" s="35">
        <f t="shared" si="371"/>
        <v>82.620883839999991</v>
      </c>
      <c r="P390" s="38">
        <f t="shared" si="266"/>
        <v>86.156283839999986</v>
      </c>
      <c r="Q390" s="39"/>
    </row>
    <row r="391" spans="1:17" x14ac:dyDescent="0.25">
      <c r="A391" s="122" t="str">
        <f>IF(TRIM(G391)&lt;&gt;"",COUNTA(G$9:$G391)&amp;"","")</f>
        <v>325</v>
      </c>
      <c r="B391" s="123" t="s">
        <v>609</v>
      </c>
      <c r="C391" s="123" t="s">
        <v>609</v>
      </c>
      <c r="D391" s="50"/>
      <c r="E391" s="211" t="s">
        <v>656</v>
      </c>
      <c r="F391" s="193">
        <v>16.04</v>
      </c>
      <c r="G391" s="193" t="s">
        <v>228</v>
      </c>
      <c r="H391" s="33"/>
      <c r="I391" s="82"/>
      <c r="J391" s="34"/>
      <c r="K391" s="35"/>
      <c r="L391" s="36"/>
      <c r="M391" s="37"/>
      <c r="N391" s="37"/>
      <c r="O391" s="35"/>
      <c r="P391" s="38">
        <f t="shared" si="266"/>
        <v>0</v>
      </c>
      <c r="Q391" s="39"/>
    </row>
    <row r="392" spans="1:17" ht="30" x14ac:dyDescent="0.25">
      <c r="A392" s="122" t="str">
        <f>IF(TRIM(G392)&lt;&gt;"",COUNTA(G$9:$G392)&amp;"","")</f>
        <v>326</v>
      </c>
      <c r="B392" s="123" t="s">
        <v>609</v>
      </c>
      <c r="C392" s="123" t="s">
        <v>609</v>
      </c>
      <c r="D392" s="50"/>
      <c r="E392" s="111" t="s">
        <v>657</v>
      </c>
      <c r="F392" s="124">
        <f>F391</f>
        <v>16.04</v>
      </c>
      <c r="G392" s="125" t="s">
        <v>228</v>
      </c>
      <c r="H392" s="33">
        <v>0.1</v>
      </c>
      <c r="I392" s="82">
        <f t="shared" ref="I392:I397" si="372">IF(F392=0,"",F392+(F392*H392))</f>
        <v>17.643999999999998</v>
      </c>
      <c r="J392" s="34">
        <f>9.61/10*16</f>
        <v>15.375999999999999</v>
      </c>
      <c r="K392" s="35">
        <f t="shared" ref="K392:K397" si="373">IF(F392=0,"",J392*I392)</f>
        <v>271.29414399999996</v>
      </c>
      <c r="L392" s="36">
        <f t="shared" ref="L392:L397" si="374">IF(F392=0,"",L$14)</f>
        <v>73.03</v>
      </c>
      <c r="M392" s="37">
        <f>0.16/10*16</f>
        <v>0.25600000000000001</v>
      </c>
      <c r="N392" s="37">
        <f t="shared" ref="N392:N397" si="375">IF(F392=0,"",M392*I392)</f>
        <v>4.516864</v>
      </c>
      <c r="O392" s="35">
        <f t="shared" ref="O392:O397" si="376">IF(F392=0,"",N392*L392)</f>
        <v>329.86657792</v>
      </c>
      <c r="P392" s="38">
        <f t="shared" si="266"/>
        <v>601.16072192000001</v>
      </c>
      <c r="Q392" s="39"/>
    </row>
    <row r="393" spans="1:17" x14ac:dyDescent="0.25">
      <c r="A393" s="122" t="str">
        <f>IF(TRIM(G393)&lt;&gt;"",COUNTA(G$9:$G393)&amp;"","")</f>
        <v>327</v>
      </c>
      <c r="B393" s="123" t="s">
        <v>609</v>
      </c>
      <c r="C393" s="123" t="s">
        <v>609</v>
      </c>
      <c r="D393" s="50"/>
      <c r="E393" s="111" t="s">
        <v>612</v>
      </c>
      <c r="F393" s="124">
        <f>F391</f>
        <v>16.04</v>
      </c>
      <c r="G393" s="125" t="s">
        <v>228</v>
      </c>
      <c r="H393" s="33">
        <v>0.1</v>
      </c>
      <c r="I393" s="82">
        <f t="shared" si="372"/>
        <v>17.643999999999998</v>
      </c>
      <c r="J393" s="34">
        <v>1.51</v>
      </c>
      <c r="K393" s="35">
        <f t="shared" si="373"/>
        <v>26.642439999999997</v>
      </c>
      <c r="L393" s="36">
        <f t="shared" si="374"/>
        <v>73.03</v>
      </c>
      <c r="M393" s="37">
        <v>3.5999999999999997E-2</v>
      </c>
      <c r="N393" s="37">
        <f t="shared" si="375"/>
        <v>0.63518399999999986</v>
      </c>
      <c r="O393" s="35">
        <f t="shared" si="376"/>
        <v>46.387487519999993</v>
      </c>
      <c r="P393" s="38">
        <f t="shared" si="266"/>
        <v>73.029927519999987</v>
      </c>
      <c r="Q393" s="39"/>
    </row>
    <row r="394" spans="1:17" x14ac:dyDescent="0.25">
      <c r="A394" s="122" t="str">
        <f>IF(TRIM(G394)&lt;&gt;"",COUNTA(G$9:$G394)&amp;"","")</f>
        <v>328</v>
      </c>
      <c r="B394" s="123" t="s">
        <v>609</v>
      </c>
      <c r="C394" s="123" t="s">
        <v>609</v>
      </c>
      <c r="D394" s="50"/>
      <c r="E394" s="111" t="s">
        <v>613</v>
      </c>
      <c r="F394" s="124">
        <f>F391*15.416</f>
        <v>247.27264</v>
      </c>
      <c r="G394" s="125" t="s">
        <v>214</v>
      </c>
      <c r="H394" s="33">
        <v>0.1</v>
      </c>
      <c r="I394" s="82">
        <f t="shared" si="372"/>
        <v>271.99990400000002</v>
      </c>
      <c r="J394" s="34">
        <v>0.54</v>
      </c>
      <c r="K394" s="35">
        <f t="shared" si="373"/>
        <v>146.87994816000003</v>
      </c>
      <c r="L394" s="36">
        <f t="shared" si="374"/>
        <v>73.03</v>
      </c>
      <c r="M394" s="37">
        <v>1.7000000000000001E-2</v>
      </c>
      <c r="N394" s="37">
        <f t="shared" si="375"/>
        <v>4.6239983680000005</v>
      </c>
      <c r="O394" s="35">
        <f t="shared" si="376"/>
        <v>337.69060081504006</v>
      </c>
      <c r="P394" s="38">
        <f t="shared" si="266"/>
        <v>484.57054897504008</v>
      </c>
      <c r="Q394" s="39"/>
    </row>
    <row r="395" spans="1:17" x14ac:dyDescent="0.25">
      <c r="A395" s="122" t="str">
        <f>IF(TRIM(G395)&lt;&gt;"",COUNTA(G$9:$G395)&amp;"","")</f>
        <v>329</v>
      </c>
      <c r="B395" s="123" t="s">
        <v>609</v>
      </c>
      <c r="C395" s="123" t="s">
        <v>609</v>
      </c>
      <c r="D395" s="50"/>
      <c r="E395" s="111" t="s">
        <v>614</v>
      </c>
      <c r="F395" s="124">
        <f>F391*15.416</f>
        <v>247.27264</v>
      </c>
      <c r="G395" s="125" t="s">
        <v>214</v>
      </c>
      <c r="H395" s="33">
        <v>0.1</v>
      </c>
      <c r="I395" s="82">
        <f t="shared" si="372"/>
        <v>271.99990400000002</v>
      </c>
      <c r="J395" s="34">
        <v>0.69</v>
      </c>
      <c r="K395" s="35">
        <f t="shared" si="373"/>
        <v>187.67993375999998</v>
      </c>
      <c r="L395" s="36">
        <f t="shared" si="374"/>
        <v>73.03</v>
      </c>
      <c r="M395" s="37">
        <v>1.4E-2</v>
      </c>
      <c r="N395" s="37">
        <f t="shared" si="375"/>
        <v>3.8079986560000001</v>
      </c>
      <c r="O395" s="35">
        <f t="shared" si="376"/>
        <v>278.09814184767998</v>
      </c>
      <c r="P395" s="38">
        <f t="shared" si="266"/>
        <v>465.77807560767997</v>
      </c>
      <c r="Q395" s="39"/>
    </row>
    <row r="396" spans="1:17" x14ac:dyDescent="0.25">
      <c r="A396" s="122" t="str">
        <f>IF(TRIM(G396)&lt;&gt;"",COUNTA(G$9:$G396)&amp;"","")</f>
        <v>330</v>
      </c>
      <c r="B396" s="123" t="s">
        <v>609</v>
      </c>
      <c r="C396" s="123" t="s">
        <v>609</v>
      </c>
      <c r="D396" s="50"/>
      <c r="E396" s="111" t="s">
        <v>615</v>
      </c>
      <c r="F396" s="124">
        <f>F391*15.416</f>
        <v>247.27264</v>
      </c>
      <c r="G396" s="125" t="s">
        <v>214</v>
      </c>
      <c r="H396" s="33">
        <v>0.1</v>
      </c>
      <c r="I396" s="82">
        <f t="shared" si="372"/>
        <v>271.99990400000002</v>
      </c>
      <c r="J396" s="34">
        <v>2.4</v>
      </c>
      <c r="K396" s="35">
        <f t="shared" si="373"/>
        <v>652.79976959999999</v>
      </c>
      <c r="L396" s="36">
        <f t="shared" si="374"/>
        <v>73.03</v>
      </c>
      <c r="M396" s="37">
        <v>5.0000000000000001E-3</v>
      </c>
      <c r="N396" s="37">
        <f t="shared" si="375"/>
        <v>1.3599995200000001</v>
      </c>
      <c r="O396" s="35">
        <f t="shared" si="376"/>
        <v>99.320764945600004</v>
      </c>
      <c r="P396" s="38">
        <f t="shared" si="266"/>
        <v>752.12053454559998</v>
      </c>
      <c r="Q396" s="39"/>
    </row>
    <row r="397" spans="1:17" x14ac:dyDescent="0.25">
      <c r="A397" s="122" t="str">
        <f>IF(TRIM(G397)&lt;&gt;"",COUNTA(G$9:$G397)&amp;"","")</f>
        <v>331</v>
      </c>
      <c r="B397" s="123" t="s">
        <v>609</v>
      </c>
      <c r="C397" s="123" t="s">
        <v>609</v>
      </c>
      <c r="D397" s="50"/>
      <c r="E397" s="111" t="s">
        <v>706</v>
      </c>
      <c r="F397" s="124">
        <f>F391*2</f>
        <v>32.08</v>
      </c>
      <c r="G397" s="125" t="s">
        <v>228</v>
      </c>
      <c r="H397" s="33">
        <v>0.1</v>
      </c>
      <c r="I397" s="82">
        <f t="shared" si="372"/>
        <v>35.287999999999997</v>
      </c>
      <c r="J397" s="34">
        <v>0.05</v>
      </c>
      <c r="K397" s="35">
        <f t="shared" si="373"/>
        <v>1.7644</v>
      </c>
      <c r="L397" s="36">
        <f t="shared" si="374"/>
        <v>73.03</v>
      </c>
      <c r="M397" s="37">
        <v>1.6E-2</v>
      </c>
      <c r="N397" s="37">
        <f t="shared" si="375"/>
        <v>0.564608</v>
      </c>
      <c r="O397" s="35">
        <f t="shared" si="376"/>
        <v>41.23332224</v>
      </c>
      <c r="P397" s="38">
        <f t="shared" si="266"/>
        <v>42.997722240000002</v>
      </c>
      <c r="Q397" s="39"/>
    </row>
    <row r="398" spans="1:17" x14ac:dyDescent="0.25">
      <c r="A398" s="122" t="str">
        <f>IF(TRIM(G398)&lt;&gt;"",COUNTA(G$9:$G398)&amp;"","")</f>
        <v>332</v>
      </c>
      <c r="B398" s="123" t="s">
        <v>609</v>
      </c>
      <c r="C398" s="123" t="s">
        <v>609</v>
      </c>
      <c r="D398" s="50"/>
      <c r="E398" s="211" t="s">
        <v>658</v>
      </c>
      <c r="F398" s="193">
        <v>8.31</v>
      </c>
      <c r="G398" s="193" t="s">
        <v>228</v>
      </c>
      <c r="H398" s="33"/>
      <c r="I398" s="82"/>
      <c r="J398" s="34"/>
      <c r="K398" s="35"/>
      <c r="L398" s="36"/>
      <c r="M398" s="37"/>
      <c r="N398" s="37"/>
      <c r="O398" s="35"/>
      <c r="P398" s="38">
        <f t="shared" si="266"/>
        <v>0</v>
      </c>
      <c r="Q398" s="39"/>
    </row>
    <row r="399" spans="1:17" ht="30" x14ac:dyDescent="0.25">
      <c r="A399" s="122" t="str">
        <f>IF(TRIM(G399)&lt;&gt;"",COUNTA(G$9:$G399)&amp;"","")</f>
        <v>333</v>
      </c>
      <c r="B399" s="123" t="s">
        <v>609</v>
      </c>
      <c r="C399" s="123" t="s">
        <v>609</v>
      </c>
      <c r="D399" s="50"/>
      <c r="E399" s="111" t="s">
        <v>659</v>
      </c>
      <c r="F399" s="124">
        <f>F398</f>
        <v>8.31</v>
      </c>
      <c r="G399" s="125" t="s">
        <v>228</v>
      </c>
      <c r="H399" s="33">
        <v>0.1</v>
      </c>
      <c r="I399" s="82">
        <f t="shared" ref="I399:I402" si="377">IF(F399=0,"",F399+(F399*H399))</f>
        <v>9.141</v>
      </c>
      <c r="J399" s="34">
        <f>(14.34/10)*12</f>
        <v>17.207999999999998</v>
      </c>
      <c r="K399" s="35">
        <f t="shared" ref="K399:K402" si="378">IF(F399=0,"",J399*I399)</f>
        <v>157.298328</v>
      </c>
      <c r="L399" s="36">
        <f t="shared" ref="L399:L402" si="379">IF(F399=0,"",L$14)</f>
        <v>73.03</v>
      </c>
      <c r="M399" s="37">
        <f>(0.178/10)*12</f>
        <v>0.21360000000000001</v>
      </c>
      <c r="N399" s="37">
        <f t="shared" ref="N399:N402" si="380">IF(F399=0,"",M399*I399)</f>
        <v>1.9525176000000002</v>
      </c>
      <c r="O399" s="35">
        <f t="shared" ref="O399:O402" si="381">IF(F399=0,"",N399*L399)</f>
        <v>142.59236032800001</v>
      </c>
      <c r="P399" s="38">
        <f t="shared" si="266"/>
        <v>299.89068832800001</v>
      </c>
      <c r="Q399" s="39"/>
    </row>
    <row r="400" spans="1:17" x14ac:dyDescent="0.25">
      <c r="A400" s="122" t="str">
        <f>IF(TRIM(G400)&lt;&gt;"",COUNTA(G$9:$G400)&amp;"","")</f>
        <v>334</v>
      </c>
      <c r="B400" s="123" t="s">
        <v>609</v>
      </c>
      <c r="C400" s="123" t="s">
        <v>609</v>
      </c>
      <c r="D400" s="50"/>
      <c r="E400" s="111" t="s">
        <v>612</v>
      </c>
      <c r="F400" s="124">
        <f>F398</f>
        <v>8.31</v>
      </c>
      <c r="G400" s="125" t="s">
        <v>228</v>
      </c>
      <c r="H400" s="33">
        <v>0.1</v>
      </c>
      <c r="I400" s="82">
        <f t="shared" si="377"/>
        <v>9.141</v>
      </c>
      <c r="J400" s="34">
        <v>1.51</v>
      </c>
      <c r="K400" s="35">
        <f t="shared" si="378"/>
        <v>13.802910000000001</v>
      </c>
      <c r="L400" s="36">
        <f t="shared" si="379"/>
        <v>73.03</v>
      </c>
      <c r="M400" s="37">
        <v>3.5999999999999997E-2</v>
      </c>
      <c r="N400" s="37">
        <f t="shared" si="380"/>
        <v>0.32907599999999998</v>
      </c>
      <c r="O400" s="35">
        <f t="shared" si="381"/>
        <v>24.03242028</v>
      </c>
      <c r="P400" s="38">
        <f t="shared" si="266"/>
        <v>37.835330280000001</v>
      </c>
      <c r="Q400" s="39"/>
    </row>
    <row r="401" spans="1:17" x14ac:dyDescent="0.25">
      <c r="A401" s="122" t="str">
        <f>IF(TRIM(G401)&lt;&gt;"",COUNTA(G$9:$G401)&amp;"","")</f>
        <v>335</v>
      </c>
      <c r="B401" s="123" t="s">
        <v>609</v>
      </c>
      <c r="C401" s="123" t="s">
        <v>609</v>
      </c>
      <c r="D401" s="50"/>
      <c r="E401" s="111" t="s">
        <v>627</v>
      </c>
      <c r="F401" s="124">
        <f>F398*12*2</f>
        <v>199.44</v>
      </c>
      <c r="G401" s="125" t="s">
        <v>214</v>
      </c>
      <c r="H401" s="33">
        <v>0.1</v>
      </c>
      <c r="I401" s="82">
        <f t="shared" si="377"/>
        <v>219.38400000000001</v>
      </c>
      <c r="J401" s="34">
        <v>0.54</v>
      </c>
      <c r="K401" s="35">
        <f t="shared" si="378"/>
        <v>118.46736000000001</v>
      </c>
      <c r="L401" s="36">
        <f t="shared" si="379"/>
        <v>73.03</v>
      </c>
      <c r="M401" s="37">
        <v>1.7000000000000001E-2</v>
      </c>
      <c r="N401" s="37">
        <f t="shared" si="380"/>
        <v>3.7295280000000006</v>
      </c>
      <c r="O401" s="35">
        <f t="shared" si="381"/>
        <v>272.36742984000006</v>
      </c>
      <c r="P401" s="38">
        <f t="shared" si="266"/>
        <v>390.8347898400001</v>
      </c>
      <c r="Q401" s="39"/>
    </row>
    <row r="402" spans="1:17" x14ac:dyDescent="0.25">
      <c r="A402" s="122" t="str">
        <f>IF(TRIM(G402)&lt;&gt;"",COUNTA(G$9:$G402)&amp;"","")</f>
        <v>336</v>
      </c>
      <c r="B402" s="123" t="s">
        <v>609</v>
      </c>
      <c r="C402" s="123" t="s">
        <v>609</v>
      </c>
      <c r="D402" s="50"/>
      <c r="E402" s="111" t="s">
        <v>706</v>
      </c>
      <c r="F402" s="124">
        <f>F398*4</f>
        <v>33.24</v>
      </c>
      <c r="G402" s="125" t="s">
        <v>228</v>
      </c>
      <c r="H402" s="33">
        <v>0.1</v>
      </c>
      <c r="I402" s="82">
        <f t="shared" si="377"/>
        <v>36.564</v>
      </c>
      <c r="J402" s="34">
        <v>0.05</v>
      </c>
      <c r="K402" s="35">
        <f t="shared" si="378"/>
        <v>1.8282</v>
      </c>
      <c r="L402" s="36">
        <f t="shared" si="379"/>
        <v>73.03</v>
      </c>
      <c r="M402" s="37">
        <v>1.6E-2</v>
      </c>
      <c r="N402" s="37">
        <f t="shared" si="380"/>
        <v>0.58502399999999999</v>
      </c>
      <c r="O402" s="35">
        <f t="shared" si="381"/>
        <v>42.724302719999997</v>
      </c>
      <c r="P402" s="38">
        <f t="shared" si="266"/>
        <v>44.55250272</v>
      </c>
      <c r="Q402" s="39"/>
    </row>
    <row r="403" spans="1:17" x14ac:dyDescent="0.25">
      <c r="A403" s="122" t="str">
        <f>IF(TRIM(G403)&lt;&gt;"",COUNTA(G$9:$G403)&amp;"","")</f>
        <v>337</v>
      </c>
      <c r="B403" s="123" t="s">
        <v>609</v>
      </c>
      <c r="C403" s="123" t="s">
        <v>609</v>
      </c>
      <c r="D403" s="50"/>
      <c r="E403" s="211" t="s">
        <v>660</v>
      </c>
      <c r="F403" s="193">
        <v>6.86</v>
      </c>
      <c r="G403" s="193" t="s">
        <v>228</v>
      </c>
      <c r="H403" s="33"/>
      <c r="I403" s="82"/>
      <c r="J403" s="34"/>
      <c r="K403" s="35"/>
      <c r="L403" s="36"/>
      <c r="M403" s="37"/>
      <c r="N403" s="37"/>
      <c r="O403" s="35"/>
      <c r="P403" s="38">
        <f t="shared" si="266"/>
        <v>0</v>
      </c>
      <c r="Q403" s="39"/>
    </row>
    <row r="404" spans="1:17" ht="30" x14ac:dyDescent="0.25">
      <c r="A404" s="122" t="str">
        <f>IF(TRIM(G404)&lt;&gt;"",COUNTA(G$9:$G404)&amp;"","")</f>
        <v>338</v>
      </c>
      <c r="B404" s="123" t="s">
        <v>609</v>
      </c>
      <c r="C404" s="123" t="s">
        <v>609</v>
      </c>
      <c r="D404" s="50"/>
      <c r="E404" s="111" t="s">
        <v>661</v>
      </c>
      <c r="F404" s="124">
        <f>F403</f>
        <v>6.86</v>
      </c>
      <c r="G404" s="125" t="s">
        <v>228</v>
      </c>
      <c r="H404" s="33">
        <v>0.1</v>
      </c>
      <c r="I404" s="82">
        <f t="shared" ref="I404:I407" si="382">IF(F404=0,"",F404+(F404*H404))</f>
        <v>7.5460000000000003</v>
      </c>
      <c r="J404" s="34">
        <f>(14.34/10)*14</f>
        <v>20.076000000000001</v>
      </c>
      <c r="K404" s="35">
        <f t="shared" ref="K404:K407" si="383">IF(F404=0,"",J404*I404)</f>
        <v>151.49349600000002</v>
      </c>
      <c r="L404" s="36">
        <f t="shared" ref="L404:L407" si="384">IF(F404=0,"",L$14)</f>
        <v>73.03</v>
      </c>
      <c r="M404" s="37">
        <f>(0.178/10)*14</f>
        <v>0.2492</v>
      </c>
      <c r="N404" s="37">
        <f t="shared" ref="N404:N407" si="385">IF(F404=0,"",M404*I404)</f>
        <v>1.8804632000000001</v>
      </c>
      <c r="O404" s="35">
        <f t="shared" ref="O404:O407" si="386">IF(F404=0,"",N404*L404)</f>
        <v>137.33022749600002</v>
      </c>
      <c r="P404" s="38">
        <f t="shared" si="266"/>
        <v>288.82372349600007</v>
      </c>
      <c r="Q404" s="39"/>
    </row>
    <row r="405" spans="1:17" x14ac:dyDescent="0.25">
      <c r="A405" s="122" t="str">
        <f>IF(TRIM(G405)&lt;&gt;"",COUNTA(G$9:$G405)&amp;"","")</f>
        <v>339</v>
      </c>
      <c r="B405" s="123" t="s">
        <v>609</v>
      </c>
      <c r="C405" s="123" t="s">
        <v>609</v>
      </c>
      <c r="D405" s="50"/>
      <c r="E405" s="111" t="s">
        <v>612</v>
      </c>
      <c r="F405" s="124">
        <f>F403</f>
        <v>6.86</v>
      </c>
      <c r="G405" s="125" t="s">
        <v>228</v>
      </c>
      <c r="H405" s="33">
        <v>0.1</v>
      </c>
      <c r="I405" s="82">
        <f t="shared" si="382"/>
        <v>7.5460000000000003</v>
      </c>
      <c r="J405" s="34">
        <v>1.51</v>
      </c>
      <c r="K405" s="35">
        <f t="shared" si="383"/>
        <v>11.39446</v>
      </c>
      <c r="L405" s="36">
        <f t="shared" si="384"/>
        <v>73.03</v>
      </c>
      <c r="M405" s="37">
        <v>3.5999999999999997E-2</v>
      </c>
      <c r="N405" s="37">
        <f t="shared" si="385"/>
        <v>0.27165600000000001</v>
      </c>
      <c r="O405" s="35">
        <f t="shared" si="386"/>
        <v>19.839037680000001</v>
      </c>
      <c r="P405" s="38">
        <f t="shared" si="266"/>
        <v>31.233497679999999</v>
      </c>
      <c r="Q405" s="39"/>
    </row>
    <row r="406" spans="1:17" x14ac:dyDescent="0.25">
      <c r="A406" s="122" t="str">
        <f>IF(TRIM(G406)&lt;&gt;"",COUNTA(G$9:$G406)&amp;"","")</f>
        <v>340</v>
      </c>
      <c r="B406" s="123" t="s">
        <v>609</v>
      </c>
      <c r="C406" s="123" t="s">
        <v>609</v>
      </c>
      <c r="D406" s="50"/>
      <c r="E406" s="111" t="s">
        <v>627</v>
      </c>
      <c r="F406" s="124">
        <f>F403*12.67*2</f>
        <v>173.83240000000001</v>
      </c>
      <c r="G406" s="125" t="s">
        <v>214</v>
      </c>
      <c r="H406" s="33">
        <v>0.1</v>
      </c>
      <c r="I406" s="82">
        <f t="shared" si="382"/>
        <v>191.21564000000001</v>
      </c>
      <c r="J406" s="34">
        <v>0.54</v>
      </c>
      <c r="K406" s="35">
        <f t="shared" si="383"/>
        <v>103.25644560000001</v>
      </c>
      <c r="L406" s="36">
        <f t="shared" si="384"/>
        <v>73.03</v>
      </c>
      <c r="M406" s="37">
        <v>1.7000000000000001E-2</v>
      </c>
      <c r="N406" s="37">
        <f t="shared" si="385"/>
        <v>3.2506658800000006</v>
      </c>
      <c r="O406" s="35">
        <f t="shared" si="386"/>
        <v>237.39612921640006</v>
      </c>
      <c r="P406" s="38">
        <f t="shared" si="266"/>
        <v>340.65257481640003</v>
      </c>
      <c r="Q406" s="39"/>
    </row>
    <row r="407" spans="1:17" x14ac:dyDescent="0.25">
      <c r="A407" s="122" t="str">
        <f>IF(TRIM(G407)&lt;&gt;"",COUNTA(G$9:$G407)&amp;"","")</f>
        <v>341</v>
      </c>
      <c r="B407" s="123" t="s">
        <v>609</v>
      </c>
      <c r="C407" s="123" t="s">
        <v>609</v>
      </c>
      <c r="D407" s="50"/>
      <c r="E407" s="111" t="s">
        <v>706</v>
      </c>
      <c r="F407" s="124">
        <f>F403*4</f>
        <v>27.44</v>
      </c>
      <c r="G407" s="125" t="s">
        <v>228</v>
      </c>
      <c r="H407" s="33">
        <v>0.1</v>
      </c>
      <c r="I407" s="82">
        <f t="shared" si="382"/>
        <v>30.184000000000001</v>
      </c>
      <c r="J407" s="34">
        <v>0.05</v>
      </c>
      <c r="K407" s="35">
        <f t="shared" si="383"/>
        <v>1.5092000000000001</v>
      </c>
      <c r="L407" s="36">
        <f t="shared" si="384"/>
        <v>73.03</v>
      </c>
      <c r="M407" s="37">
        <v>1.6E-2</v>
      </c>
      <c r="N407" s="37">
        <f t="shared" si="385"/>
        <v>0.48294400000000004</v>
      </c>
      <c r="O407" s="35">
        <f t="shared" si="386"/>
        <v>35.269400320000003</v>
      </c>
      <c r="P407" s="38">
        <f t="shared" si="266"/>
        <v>36.778600320000002</v>
      </c>
      <c r="Q407" s="39"/>
    </row>
    <row r="408" spans="1:17" x14ac:dyDescent="0.25">
      <c r="A408" s="122" t="str">
        <f>IF(TRIM(G408)&lt;&gt;"",COUNTA(G$9:$G408)&amp;"","")</f>
        <v>342</v>
      </c>
      <c r="B408" s="123" t="s">
        <v>609</v>
      </c>
      <c r="C408" s="123" t="s">
        <v>609</v>
      </c>
      <c r="D408" s="50"/>
      <c r="E408" s="211" t="s">
        <v>662</v>
      </c>
      <c r="F408" s="193">
        <v>8.44</v>
      </c>
      <c r="G408" s="193" t="s">
        <v>228</v>
      </c>
      <c r="H408" s="33"/>
      <c r="I408" s="82"/>
      <c r="J408" s="34"/>
      <c r="K408" s="35"/>
      <c r="L408" s="36"/>
      <c r="M408" s="37"/>
      <c r="N408" s="37"/>
      <c r="O408" s="35"/>
      <c r="P408" s="38">
        <f t="shared" si="266"/>
        <v>0</v>
      </c>
      <c r="Q408" s="39"/>
    </row>
    <row r="409" spans="1:17" ht="30" x14ac:dyDescent="0.25">
      <c r="A409" s="122" t="str">
        <f>IF(TRIM(G409)&lt;&gt;"",COUNTA(G$9:$G409)&amp;"","")</f>
        <v>343</v>
      </c>
      <c r="B409" s="123" t="s">
        <v>609</v>
      </c>
      <c r="C409" s="123" t="s">
        <v>609</v>
      </c>
      <c r="D409" s="50"/>
      <c r="E409" s="111" t="s">
        <v>663</v>
      </c>
      <c r="F409" s="124">
        <f>F408</f>
        <v>8.44</v>
      </c>
      <c r="G409" s="125" t="s">
        <v>228</v>
      </c>
      <c r="H409" s="33">
        <v>0.1</v>
      </c>
      <c r="I409" s="82">
        <f t="shared" ref="I409:I413" si="387">IF(F409=0,"",F409+(F409*H409))</f>
        <v>9.2839999999999989</v>
      </c>
      <c r="J409" s="34">
        <f>(14.34/10)*14</f>
        <v>20.076000000000001</v>
      </c>
      <c r="K409" s="35">
        <f t="shared" ref="K409:K413" si="388">IF(F409=0,"",J409*I409)</f>
        <v>186.38558399999999</v>
      </c>
      <c r="L409" s="36">
        <f t="shared" ref="L409:L413" si="389">IF(F409=0,"",L$14)</f>
        <v>73.03</v>
      </c>
      <c r="M409" s="37">
        <f>(0.178/10)*14</f>
        <v>0.2492</v>
      </c>
      <c r="N409" s="37">
        <f t="shared" ref="N409:N413" si="390">IF(F409=0,"",M409*I409)</f>
        <v>2.3135727999999998</v>
      </c>
      <c r="O409" s="35">
        <f t="shared" ref="O409:O413" si="391">IF(F409=0,"",N409*L409)</f>
        <v>168.96022158399998</v>
      </c>
      <c r="P409" s="38">
        <f t="shared" si="266"/>
        <v>355.345805584</v>
      </c>
      <c r="Q409" s="39"/>
    </row>
    <row r="410" spans="1:17" x14ac:dyDescent="0.25">
      <c r="A410" s="122" t="str">
        <f>IF(TRIM(G410)&lt;&gt;"",COUNTA(G$9:$G410)&amp;"","")</f>
        <v>344</v>
      </c>
      <c r="B410" s="123" t="s">
        <v>609</v>
      </c>
      <c r="C410" s="123" t="s">
        <v>609</v>
      </c>
      <c r="D410" s="50"/>
      <c r="E410" s="111" t="s">
        <v>612</v>
      </c>
      <c r="F410" s="124">
        <f>F408</f>
        <v>8.44</v>
      </c>
      <c r="G410" s="125" t="s">
        <v>228</v>
      </c>
      <c r="H410" s="33">
        <v>0.1</v>
      </c>
      <c r="I410" s="82">
        <f t="shared" si="387"/>
        <v>9.2839999999999989</v>
      </c>
      <c r="J410" s="34">
        <v>1.51</v>
      </c>
      <c r="K410" s="35">
        <f t="shared" si="388"/>
        <v>14.018839999999999</v>
      </c>
      <c r="L410" s="36">
        <f t="shared" si="389"/>
        <v>73.03</v>
      </c>
      <c r="M410" s="37">
        <v>3.5999999999999997E-2</v>
      </c>
      <c r="N410" s="37">
        <f t="shared" si="390"/>
        <v>0.33422399999999991</v>
      </c>
      <c r="O410" s="35">
        <f t="shared" si="391"/>
        <v>24.408378719999995</v>
      </c>
      <c r="P410" s="38">
        <f t="shared" si="266"/>
        <v>38.427218719999992</v>
      </c>
      <c r="Q410" s="39"/>
    </row>
    <row r="411" spans="1:17" x14ac:dyDescent="0.25">
      <c r="A411" s="122" t="str">
        <f>IF(TRIM(G411)&lt;&gt;"",COUNTA(G$9:$G411)&amp;"","")</f>
        <v>345</v>
      </c>
      <c r="B411" s="123" t="s">
        <v>609</v>
      </c>
      <c r="C411" s="123" t="s">
        <v>609</v>
      </c>
      <c r="D411" s="50"/>
      <c r="E411" s="111" t="s">
        <v>613</v>
      </c>
      <c r="F411" s="124">
        <f>F408*13.67</f>
        <v>115.37479999999999</v>
      </c>
      <c r="G411" s="125" t="s">
        <v>214</v>
      </c>
      <c r="H411" s="33">
        <v>0.1</v>
      </c>
      <c r="I411" s="82">
        <f t="shared" si="387"/>
        <v>126.91228</v>
      </c>
      <c r="J411" s="34">
        <v>0.54</v>
      </c>
      <c r="K411" s="35">
        <f t="shared" si="388"/>
        <v>68.532631199999997</v>
      </c>
      <c r="L411" s="36">
        <f t="shared" si="389"/>
        <v>73.03</v>
      </c>
      <c r="M411" s="37">
        <v>1.7000000000000001E-2</v>
      </c>
      <c r="N411" s="37">
        <f t="shared" si="390"/>
        <v>2.1575087600000002</v>
      </c>
      <c r="O411" s="35">
        <f t="shared" si="391"/>
        <v>157.56286474280003</v>
      </c>
      <c r="P411" s="38">
        <f t="shared" si="266"/>
        <v>226.09549594280003</v>
      </c>
      <c r="Q411" s="39"/>
    </row>
    <row r="412" spans="1:17" x14ac:dyDescent="0.25">
      <c r="A412" s="122" t="str">
        <f>IF(TRIM(G412)&lt;&gt;"",COUNTA(G$9:$G412)&amp;"","")</f>
        <v>346</v>
      </c>
      <c r="B412" s="123" t="s">
        <v>609</v>
      </c>
      <c r="C412" s="123" t="s">
        <v>609</v>
      </c>
      <c r="D412" s="50"/>
      <c r="E412" s="111" t="s">
        <v>620</v>
      </c>
      <c r="F412" s="124">
        <f>F408*13.67</f>
        <v>115.37479999999999</v>
      </c>
      <c r="G412" s="125" t="s">
        <v>214</v>
      </c>
      <c r="H412" s="33">
        <v>0.1</v>
      </c>
      <c r="I412" s="82">
        <f t="shared" si="387"/>
        <v>126.91228</v>
      </c>
      <c r="J412" s="34">
        <v>0.68</v>
      </c>
      <c r="K412" s="35">
        <f t="shared" si="388"/>
        <v>86.300350399999999</v>
      </c>
      <c r="L412" s="36">
        <f t="shared" si="389"/>
        <v>73.03</v>
      </c>
      <c r="M412" s="37">
        <v>1.7000000000000001E-2</v>
      </c>
      <c r="N412" s="37">
        <f t="shared" si="390"/>
        <v>2.1575087600000002</v>
      </c>
      <c r="O412" s="35">
        <f t="shared" si="391"/>
        <v>157.56286474280003</v>
      </c>
      <c r="P412" s="38">
        <f t="shared" si="266"/>
        <v>243.86321514280002</v>
      </c>
      <c r="Q412" s="39"/>
    </row>
    <row r="413" spans="1:17" x14ac:dyDescent="0.25">
      <c r="A413" s="122" t="str">
        <f>IF(TRIM(G413)&lt;&gt;"",COUNTA(G$9:$G413)&amp;"","")</f>
        <v>347</v>
      </c>
      <c r="B413" s="123" t="s">
        <v>609</v>
      </c>
      <c r="C413" s="123" t="s">
        <v>609</v>
      </c>
      <c r="D413" s="50"/>
      <c r="E413" s="111" t="s">
        <v>706</v>
      </c>
      <c r="F413" s="124">
        <f>F408*4</f>
        <v>33.76</v>
      </c>
      <c r="G413" s="125" t="s">
        <v>228</v>
      </c>
      <c r="H413" s="33">
        <v>0.1</v>
      </c>
      <c r="I413" s="82">
        <f t="shared" si="387"/>
        <v>37.135999999999996</v>
      </c>
      <c r="J413" s="34">
        <v>0.05</v>
      </c>
      <c r="K413" s="35">
        <f t="shared" si="388"/>
        <v>1.8567999999999998</v>
      </c>
      <c r="L413" s="36">
        <f t="shared" si="389"/>
        <v>73.03</v>
      </c>
      <c r="M413" s="37">
        <v>1.6E-2</v>
      </c>
      <c r="N413" s="37">
        <f t="shared" si="390"/>
        <v>0.59417599999999993</v>
      </c>
      <c r="O413" s="35">
        <f t="shared" si="391"/>
        <v>43.392673279999997</v>
      </c>
      <c r="P413" s="38">
        <f t="shared" si="266"/>
        <v>45.249473279999997</v>
      </c>
      <c r="Q413" s="39"/>
    </row>
    <row r="414" spans="1:17" x14ac:dyDescent="0.25">
      <c r="A414" s="122" t="str">
        <f>IF(TRIM(G414)&lt;&gt;"",COUNTA(G$9:$G414)&amp;"","")</f>
        <v>348</v>
      </c>
      <c r="B414" s="123" t="s">
        <v>609</v>
      </c>
      <c r="C414" s="123" t="s">
        <v>609</v>
      </c>
      <c r="D414" s="50"/>
      <c r="E414" s="211" t="s">
        <v>664</v>
      </c>
      <c r="F414" s="193">
        <v>23.53</v>
      </c>
      <c r="G414" s="193" t="s">
        <v>228</v>
      </c>
      <c r="H414" s="33"/>
      <c r="I414" s="82"/>
      <c r="J414" s="34"/>
      <c r="K414" s="35"/>
      <c r="L414" s="36"/>
      <c r="M414" s="37"/>
      <c r="N414" s="37"/>
      <c r="O414" s="35"/>
      <c r="P414" s="38">
        <f t="shared" si="266"/>
        <v>0</v>
      </c>
      <c r="Q414" s="39"/>
    </row>
    <row r="415" spans="1:17" ht="30" x14ac:dyDescent="0.25">
      <c r="A415" s="122" t="str">
        <f>IF(TRIM(G415)&lt;&gt;"",COUNTA(G$9:$G415)&amp;"","")</f>
        <v>349</v>
      </c>
      <c r="B415" s="123" t="s">
        <v>609</v>
      </c>
      <c r="C415" s="123" t="s">
        <v>609</v>
      </c>
      <c r="D415" s="50"/>
      <c r="E415" s="111" t="s">
        <v>665</v>
      </c>
      <c r="F415" s="124">
        <f>F414</f>
        <v>23.53</v>
      </c>
      <c r="G415" s="125" t="s">
        <v>228</v>
      </c>
      <c r="H415" s="33">
        <v>0.1</v>
      </c>
      <c r="I415" s="82">
        <f t="shared" ref="I415:I419" si="392">IF(F415=0,"",F415+(F415*H415))</f>
        <v>25.883000000000003</v>
      </c>
      <c r="J415" s="34">
        <f>(14.34/10)*8</f>
        <v>11.472</v>
      </c>
      <c r="K415" s="35">
        <f t="shared" ref="K415:K419" si="393">IF(F415=0,"",J415*I415)</f>
        <v>296.929776</v>
      </c>
      <c r="L415" s="36">
        <f t="shared" ref="L415:L419" si="394">IF(F415=0,"",L$14)</f>
        <v>73.03</v>
      </c>
      <c r="M415" s="37">
        <f>(0.178/10)*8</f>
        <v>0.1424</v>
      </c>
      <c r="N415" s="37">
        <f t="shared" ref="N415:N419" si="395">IF(F415=0,"",M415*I415)</f>
        <v>3.6857392000000004</v>
      </c>
      <c r="O415" s="35">
        <f t="shared" ref="O415:O419" si="396">IF(F415=0,"",N415*L415)</f>
        <v>269.16953377600004</v>
      </c>
      <c r="P415" s="38">
        <f t="shared" si="266"/>
        <v>566.09930977600004</v>
      </c>
      <c r="Q415" s="39"/>
    </row>
    <row r="416" spans="1:17" x14ac:dyDescent="0.25">
      <c r="A416" s="122" t="str">
        <f>IF(TRIM(G416)&lt;&gt;"",COUNTA(G$9:$G416)&amp;"","")</f>
        <v>350</v>
      </c>
      <c r="B416" s="123" t="s">
        <v>609</v>
      </c>
      <c r="C416" s="123" t="s">
        <v>609</v>
      </c>
      <c r="D416" s="50"/>
      <c r="E416" s="111" t="s">
        <v>612</v>
      </c>
      <c r="F416" s="124">
        <f>F414</f>
        <v>23.53</v>
      </c>
      <c r="G416" s="125" t="s">
        <v>228</v>
      </c>
      <c r="H416" s="33">
        <v>0.1</v>
      </c>
      <c r="I416" s="82">
        <f t="shared" si="392"/>
        <v>25.883000000000003</v>
      </c>
      <c r="J416" s="34">
        <v>1.51</v>
      </c>
      <c r="K416" s="35">
        <f t="shared" si="393"/>
        <v>39.083330000000004</v>
      </c>
      <c r="L416" s="36">
        <f t="shared" si="394"/>
        <v>73.03</v>
      </c>
      <c r="M416" s="37">
        <v>3.5999999999999997E-2</v>
      </c>
      <c r="N416" s="37">
        <f t="shared" si="395"/>
        <v>0.93178800000000006</v>
      </c>
      <c r="O416" s="35">
        <f t="shared" si="396"/>
        <v>68.048477640000002</v>
      </c>
      <c r="P416" s="38">
        <f t="shared" si="266"/>
        <v>107.13180764000001</v>
      </c>
      <c r="Q416" s="39"/>
    </row>
    <row r="417" spans="1:17" x14ac:dyDescent="0.25">
      <c r="A417" s="122" t="str">
        <f>IF(TRIM(G417)&lt;&gt;"",COUNTA(G$9:$G417)&amp;"","")</f>
        <v>351</v>
      </c>
      <c r="B417" s="123" t="s">
        <v>609</v>
      </c>
      <c r="C417" s="123" t="s">
        <v>609</v>
      </c>
      <c r="D417" s="50"/>
      <c r="E417" s="111" t="s">
        <v>620</v>
      </c>
      <c r="F417" s="124">
        <f>(7.88*8*2)+(15.65*8)</f>
        <v>251.28</v>
      </c>
      <c r="G417" s="125" t="s">
        <v>214</v>
      </c>
      <c r="H417" s="33">
        <v>0.1</v>
      </c>
      <c r="I417" s="82">
        <f t="shared" si="392"/>
        <v>276.40800000000002</v>
      </c>
      <c r="J417" s="34">
        <v>0.68</v>
      </c>
      <c r="K417" s="35">
        <f t="shared" si="393"/>
        <v>187.95744000000002</v>
      </c>
      <c r="L417" s="36">
        <f t="shared" si="394"/>
        <v>73.03</v>
      </c>
      <c r="M417" s="37">
        <v>1.7000000000000001E-2</v>
      </c>
      <c r="N417" s="37">
        <f t="shared" si="395"/>
        <v>4.6989360000000007</v>
      </c>
      <c r="O417" s="35">
        <f t="shared" si="396"/>
        <v>343.16329608000007</v>
      </c>
      <c r="P417" s="38">
        <f t="shared" si="266"/>
        <v>531.12073608000014</v>
      </c>
      <c r="Q417" s="39"/>
    </row>
    <row r="418" spans="1:17" x14ac:dyDescent="0.25">
      <c r="A418" s="122" t="str">
        <f>IF(TRIM(G418)&lt;&gt;"",COUNTA(G$9:$G418)&amp;"","")</f>
        <v>352</v>
      </c>
      <c r="B418" s="123" t="s">
        <v>609</v>
      </c>
      <c r="C418" s="123" t="s">
        <v>609</v>
      </c>
      <c r="D418" s="50"/>
      <c r="E418" s="111" t="s">
        <v>613</v>
      </c>
      <c r="F418" s="124">
        <f>15.65*8</f>
        <v>125.2</v>
      </c>
      <c r="G418" s="125" t="s">
        <v>214</v>
      </c>
      <c r="H418" s="33">
        <v>0.1</v>
      </c>
      <c r="I418" s="82">
        <f t="shared" si="392"/>
        <v>137.72</v>
      </c>
      <c r="J418" s="34">
        <v>0.54</v>
      </c>
      <c r="K418" s="35">
        <f t="shared" si="393"/>
        <v>74.368800000000007</v>
      </c>
      <c r="L418" s="36">
        <f t="shared" si="394"/>
        <v>73.03</v>
      </c>
      <c r="M418" s="37">
        <v>1.7000000000000001E-2</v>
      </c>
      <c r="N418" s="37">
        <f t="shared" si="395"/>
        <v>2.34124</v>
      </c>
      <c r="O418" s="35">
        <f t="shared" si="396"/>
        <v>170.9807572</v>
      </c>
      <c r="P418" s="38">
        <f t="shared" si="266"/>
        <v>245.34955719999999</v>
      </c>
      <c r="Q418" s="39"/>
    </row>
    <row r="419" spans="1:17" x14ac:dyDescent="0.25">
      <c r="A419" s="122" t="str">
        <f>IF(TRIM(G419)&lt;&gt;"",COUNTA(G$9:$G419)&amp;"","")</f>
        <v>353</v>
      </c>
      <c r="B419" s="123" t="s">
        <v>609</v>
      </c>
      <c r="C419" s="123" t="s">
        <v>609</v>
      </c>
      <c r="D419" s="50"/>
      <c r="E419" s="111" t="s">
        <v>706</v>
      </c>
      <c r="F419" s="124">
        <f>F414*4</f>
        <v>94.12</v>
      </c>
      <c r="G419" s="125" t="s">
        <v>228</v>
      </c>
      <c r="H419" s="33">
        <v>0.1</v>
      </c>
      <c r="I419" s="82">
        <f t="shared" si="392"/>
        <v>103.53200000000001</v>
      </c>
      <c r="J419" s="34">
        <v>0.05</v>
      </c>
      <c r="K419" s="35">
        <f t="shared" si="393"/>
        <v>5.1766000000000005</v>
      </c>
      <c r="L419" s="36">
        <f t="shared" si="394"/>
        <v>73.03</v>
      </c>
      <c r="M419" s="37">
        <v>1.6E-2</v>
      </c>
      <c r="N419" s="37">
        <f t="shared" si="395"/>
        <v>1.6565120000000002</v>
      </c>
      <c r="O419" s="35">
        <f t="shared" si="396"/>
        <v>120.97507136000002</v>
      </c>
      <c r="P419" s="38">
        <f t="shared" si="266"/>
        <v>126.15167136000002</v>
      </c>
      <c r="Q419" s="39"/>
    </row>
    <row r="420" spans="1:17" x14ac:dyDescent="0.25">
      <c r="A420" s="122" t="str">
        <f>IF(TRIM(G420)&lt;&gt;"",COUNTA(G$9:$G420)&amp;"","")</f>
        <v>354</v>
      </c>
      <c r="B420" s="123" t="s">
        <v>609</v>
      </c>
      <c r="C420" s="123" t="s">
        <v>609</v>
      </c>
      <c r="D420" s="50"/>
      <c r="E420" s="211" t="s">
        <v>664</v>
      </c>
      <c r="F420" s="193">
        <v>29.3</v>
      </c>
      <c r="G420" s="193" t="s">
        <v>228</v>
      </c>
      <c r="H420" s="33"/>
      <c r="I420" s="82"/>
      <c r="J420" s="34"/>
      <c r="K420" s="35"/>
      <c r="L420" s="36"/>
      <c r="M420" s="37"/>
      <c r="N420" s="37"/>
      <c r="O420" s="35"/>
      <c r="P420" s="38">
        <f t="shared" si="266"/>
        <v>0</v>
      </c>
      <c r="Q420" s="39"/>
    </row>
    <row r="421" spans="1:17" ht="30" x14ac:dyDescent="0.25">
      <c r="A421" s="122" t="str">
        <f>IF(TRIM(G421)&lt;&gt;"",COUNTA(G$9:$G421)&amp;"","")</f>
        <v>355</v>
      </c>
      <c r="B421" s="123" t="s">
        <v>609</v>
      </c>
      <c r="C421" s="123" t="s">
        <v>609</v>
      </c>
      <c r="D421" s="50"/>
      <c r="E421" s="111" t="s">
        <v>666</v>
      </c>
      <c r="F421" s="124">
        <f>F420</f>
        <v>29.3</v>
      </c>
      <c r="G421" s="125" t="s">
        <v>228</v>
      </c>
      <c r="H421" s="33">
        <v>0.1</v>
      </c>
      <c r="I421" s="82">
        <f t="shared" ref="I421:I424" si="397">IF(F421=0,"",F421+(F421*H421))</f>
        <v>32.230000000000004</v>
      </c>
      <c r="J421" s="34">
        <f>(14.34/10)*8</f>
        <v>11.472</v>
      </c>
      <c r="K421" s="35">
        <f t="shared" ref="K421:K424" si="398">IF(F421=0,"",J421*I421)</f>
        <v>369.74256000000003</v>
      </c>
      <c r="L421" s="36">
        <f t="shared" ref="L421:L424" si="399">IF(F421=0,"",L$14)</f>
        <v>73.03</v>
      </c>
      <c r="M421" s="37">
        <f>(0.178/10)*8</f>
        <v>0.1424</v>
      </c>
      <c r="N421" s="37">
        <f t="shared" ref="N421:N424" si="400">IF(F421=0,"",M421*I421)</f>
        <v>4.5895520000000003</v>
      </c>
      <c r="O421" s="35">
        <f t="shared" ref="O421:O424" si="401">IF(F421=0,"",N421*L421)</f>
        <v>335.17498256000005</v>
      </c>
      <c r="P421" s="38">
        <f t="shared" si="266"/>
        <v>704.91754256000013</v>
      </c>
      <c r="Q421" s="39"/>
    </row>
    <row r="422" spans="1:17" x14ac:dyDescent="0.25">
      <c r="A422" s="122" t="str">
        <f>IF(TRIM(G422)&lt;&gt;"",COUNTA(G$9:$G422)&amp;"","")</f>
        <v>356</v>
      </c>
      <c r="B422" s="123" t="s">
        <v>609</v>
      </c>
      <c r="C422" s="123" t="s">
        <v>609</v>
      </c>
      <c r="D422" s="50"/>
      <c r="E422" s="111" t="s">
        <v>612</v>
      </c>
      <c r="F422" s="124">
        <f>F420</f>
        <v>29.3</v>
      </c>
      <c r="G422" s="125" t="s">
        <v>228</v>
      </c>
      <c r="H422" s="33">
        <v>0.1</v>
      </c>
      <c r="I422" s="82">
        <f t="shared" si="397"/>
        <v>32.230000000000004</v>
      </c>
      <c r="J422" s="34">
        <v>1.51</v>
      </c>
      <c r="K422" s="35">
        <f t="shared" si="398"/>
        <v>48.667300000000004</v>
      </c>
      <c r="L422" s="36">
        <f t="shared" si="399"/>
        <v>73.03</v>
      </c>
      <c r="M422" s="37">
        <v>3.5999999999999997E-2</v>
      </c>
      <c r="N422" s="37">
        <f t="shared" si="400"/>
        <v>1.16028</v>
      </c>
      <c r="O422" s="35">
        <f t="shared" si="401"/>
        <v>84.735248400000003</v>
      </c>
      <c r="P422" s="38">
        <f t="shared" si="266"/>
        <v>133.4025484</v>
      </c>
      <c r="Q422" s="39"/>
    </row>
    <row r="423" spans="1:17" x14ac:dyDescent="0.25">
      <c r="A423" s="122" t="str">
        <f>IF(TRIM(G423)&lt;&gt;"",COUNTA(G$9:$G423)&amp;"","")</f>
        <v>357</v>
      </c>
      <c r="B423" s="123" t="s">
        <v>609</v>
      </c>
      <c r="C423" s="123" t="s">
        <v>609</v>
      </c>
      <c r="D423" s="50"/>
      <c r="E423" s="111" t="s">
        <v>627</v>
      </c>
      <c r="F423" s="124">
        <f>F420*8*2</f>
        <v>468.8</v>
      </c>
      <c r="G423" s="125" t="s">
        <v>214</v>
      </c>
      <c r="H423" s="33">
        <v>0.1</v>
      </c>
      <c r="I423" s="82">
        <f t="shared" si="397"/>
        <v>515.68000000000006</v>
      </c>
      <c r="J423" s="34">
        <v>0.54</v>
      </c>
      <c r="K423" s="35">
        <f t="shared" si="398"/>
        <v>278.46720000000005</v>
      </c>
      <c r="L423" s="36">
        <f t="shared" si="399"/>
        <v>73.03</v>
      </c>
      <c r="M423" s="37">
        <v>1.7000000000000001E-2</v>
      </c>
      <c r="N423" s="37">
        <f t="shared" si="400"/>
        <v>8.7665600000000019</v>
      </c>
      <c r="O423" s="35">
        <f t="shared" si="401"/>
        <v>640.22187680000013</v>
      </c>
      <c r="P423" s="38">
        <f t="shared" si="266"/>
        <v>918.68907680000018</v>
      </c>
      <c r="Q423" s="39"/>
    </row>
    <row r="424" spans="1:17" x14ac:dyDescent="0.25">
      <c r="A424" s="122" t="str">
        <f>IF(TRIM(G424)&lt;&gt;"",COUNTA(G$9:$G424)&amp;"","")</f>
        <v>358</v>
      </c>
      <c r="B424" s="123" t="s">
        <v>609</v>
      </c>
      <c r="C424" s="123" t="s">
        <v>609</v>
      </c>
      <c r="D424" s="50"/>
      <c r="E424" s="111" t="s">
        <v>706</v>
      </c>
      <c r="F424" s="124">
        <f>F420*4</f>
        <v>117.2</v>
      </c>
      <c r="G424" s="125" t="s">
        <v>228</v>
      </c>
      <c r="H424" s="33">
        <v>0.1</v>
      </c>
      <c r="I424" s="82">
        <f t="shared" si="397"/>
        <v>128.92000000000002</v>
      </c>
      <c r="J424" s="34">
        <v>0.05</v>
      </c>
      <c r="K424" s="35">
        <f t="shared" si="398"/>
        <v>6.4460000000000015</v>
      </c>
      <c r="L424" s="36">
        <f t="shared" si="399"/>
        <v>73.03</v>
      </c>
      <c r="M424" s="37">
        <v>1.6E-2</v>
      </c>
      <c r="N424" s="37">
        <f t="shared" si="400"/>
        <v>2.0627200000000001</v>
      </c>
      <c r="O424" s="35">
        <f t="shared" si="401"/>
        <v>150.6404416</v>
      </c>
      <c r="P424" s="38">
        <f t="shared" si="266"/>
        <v>157.0864416</v>
      </c>
      <c r="Q424" s="39"/>
    </row>
    <row r="425" spans="1:17" x14ac:dyDescent="0.25">
      <c r="A425" s="122" t="str">
        <f>IF(TRIM(G425)&lt;&gt;"",COUNTA(G$9:$G425)&amp;"","")</f>
        <v>359</v>
      </c>
      <c r="B425" s="123" t="s">
        <v>609</v>
      </c>
      <c r="C425" s="123" t="s">
        <v>609</v>
      </c>
      <c r="D425" s="50"/>
      <c r="E425" s="211" t="s">
        <v>667</v>
      </c>
      <c r="F425" s="193">
        <v>35.1</v>
      </c>
      <c r="G425" s="193" t="s">
        <v>228</v>
      </c>
      <c r="H425" s="33"/>
      <c r="I425" s="82"/>
      <c r="J425" s="34"/>
      <c r="K425" s="35"/>
      <c r="L425" s="36"/>
      <c r="M425" s="37"/>
      <c r="N425" s="37"/>
      <c r="O425" s="35"/>
      <c r="P425" s="38">
        <f t="shared" si="266"/>
        <v>0</v>
      </c>
      <c r="Q425" s="39"/>
    </row>
    <row r="426" spans="1:17" ht="30" x14ac:dyDescent="0.25">
      <c r="A426" s="122" t="str">
        <f>IF(TRIM(G426)&lt;&gt;"",COUNTA(G$9:$G426)&amp;"","")</f>
        <v>360</v>
      </c>
      <c r="B426" s="123" t="s">
        <v>609</v>
      </c>
      <c r="C426" s="123" t="s">
        <v>609</v>
      </c>
      <c r="D426" s="50"/>
      <c r="E426" s="111" t="s">
        <v>668</v>
      </c>
      <c r="F426" s="124">
        <f>F425</f>
        <v>35.1</v>
      </c>
      <c r="G426" s="125" t="s">
        <v>228</v>
      </c>
      <c r="H426" s="33">
        <v>0.1</v>
      </c>
      <c r="I426" s="82">
        <f t="shared" ref="I426:I429" si="402">IF(F426=0,"",F426+(F426*H426))</f>
        <v>38.61</v>
      </c>
      <c r="J426" s="34">
        <f>(14.34/10)*14</f>
        <v>20.076000000000001</v>
      </c>
      <c r="K426" s="35">
        <f t="shared" ref="K426:K429" si="403">IF(F426=0,"",J426*I426)</f>
        <v>775.13436000000002</v>
      </c>
      <c r="L426" s="36">
        <f t="shared" ref="L426:L429" si="404">IF(F426=0,"",L$14)</f>
        <v>73.03</v>
      </c>
      <c r="M426" s="37">
        <f>(0.178/10)*14</f>
        <v>0.2492</v>
      </c>
      <c r="N426" s="37">
        <f t="shared" ref="N426:N429" si="405">IF(F426=0,"",M426*I426)</f>
        <v>9.6216120000000007</v>
      </c>
      <c r="O426" s="35">
        <f t="shared" ref="O426:O429" si="406">IF(F426=0,"",N426*L426)</f>
        <v>702.66632436000009</v>
      </c>
      <c r="P426" s="38">
        <f t="shared" si="266"/>
        <v>1477.8006843600001</v>
      </c>
      <c r="Q426" s="39"/>
    </row>
    <row r="427" spans="1:17" x14ac:dyDescent="0.25">
      <c r="A427" s="122" t="str">
        <f>IF(TRIM(G427)&lt;&gt;"",COUNTA(G$9:$G427)&amp;"","")</f>
        <v>361</v>
      </c>
      <c r="B427" s="123" t="s">
        <v>609</v>
      </c>
      <c r="C427" s="123" t="s">
        <v>609</v>
      </c>
      <c r="D427" s="50"/>
      <c r="E427" s="111" t="s">
        <v>612</v>
      </c>
      <c r="F427" s="124">
        <f>F425</f>
        <v>35.1</v>
      </c>
      <c r="G427" s="125" t="s">
        <v>228</v>
      </c>
      <c r="H427" s="33">
        <v>0.1</v>
      </c>
      <c r="I427" s="82">
        <f t="shared" si="402"/>
        <v>38.61</v>
      </c>
      <c r="J427" s="34">
        <v>1.51</v>
      </c>
      <c r="K427" s="35">
        <f t="shared" si="403"/>
        <v>58.301099999999998</v>
      </c>
      <c r="L427" s="36">
        <f t="shared" si="404"/>
        <v>73.03</v>
      </c>
      <c r="M427" s="37">
        <v>3.5999999999999997E-2</v>
      </c>
      <c r="N427" s="37">
        <f t="shared" si="405"/>
        <v>1.3899599999999999</v>
      </c>
      <c r="O427" s="35">
        <f t="shared" si="406"/>
        <v>101.50877879999999</v>
      </c>
      <c r="P427" s="38">
        <f t="shared" si="266"/>
        <v>159.80987879999998</v>
      </c>
      <c r="Q427" s="39"/>
    </row>
    <row r="428" spans="1:17" x14ac:dyDescent="0.25">
      <c r="A428" s="122" t="str">
        <f>IF(TRIM(G428)&lt;&gt;"",COUNTA(G$9:$G428)&amp;"","")</f>
        <v>362</v>
      </c>
      <c r="B428" s="123" t="s">
        <v>609</v>
      </c>
      <c r="C428" s="123" t="s">
        <v>609</v>
      </c>
      <c r="D428" s="50"/>
      <c r="E428" s="111" t="s">
        <v>627</v>
      </c>
      <c r="F428" s="124">
        <f>F425*12.416*2</f>
        <v>871.60320000000002</v>
      </c>
      <c r="G428" s="125" t="s">
        <v>214</v>
      </c>
      <c r="H428" s="33">
        <v>0.1</v>
      </c>
      <c r="I428" s="82">
        <f t="shared" si="402"/>
        <v>958.76351999999997</v>
      </c>
      <c r="J428" s="34">
        <v>0.54</v>
      </c>
      <c r="K428" s="35">
        <f t="shared" si="403"/>
        <v>517.73230079999996</v>
      </c>
      <c r="L428" s="36">
        <f t="shared" si="404"/>
        <v>73.03</v>
      </c>
      <c r="M428" s="37">
        <v>1.7000000000000001E-2</v>
      </c>
      <c r="N428" s="37">
        <f t="shared" si="405"/>
        <v>16.298979840000001</v>
      </c>
      <c r="O428" s="35">
        <f t="shared" si="406"/>
        <v>1190.3144977152001</v>
      </c>
      <c r="P428" s="38">
        <f t="shared" si="266"/>
        <v>1708.0467985152</v>
      </c>
      <c r="Q428" s="39"/>
    </row>
    <row r="429" spans="1:17" x14ac:dyDescent="0.25">
      <c r="A429" s="122" t="str">
        <f>IF(TRIM(G429)&lt;&gt;"",COUNTA(G$9:$G429)&amp;"","")</f>
        <v>363</v>
      </c>
      <c r="B429" s="123" t="s">
        <v>609</v>
      </c>
      <c r="C429" s="123" t="s">
        <v>609</v>
      </c>
      <c r="D429" s="50"/>
      <c r="E429" s="111" t="s">
        <v>706</v>
      </c>
      <c r="F429" s="124">
        <f>F425*4</f>
        <v>140.4</v>
      </c>
      <c r="G429" s="125" t="s">
        <v>228</v>
      </c>
      <c r="H429" s="33">
        <v>0.1</v>
      </c>
      <c r="I429" s="82">
        <f t="shared" si="402"/>
        <v>154.44</v>
      </c>
      <c r="J429" s="34">
        <v>0.05</v>
      </c>
      <c r="K429" s="35">
        <f t="shared" si="403"/>
        <v>7.7220000000000004</v>
      </c>
      <c r="L429" s="36">
        <f t="shared" si="404"/>
        <v>73.03</v>
      </c>
      <c r="M429" s="37">
        <v>1.6E-2</v>
      </c>
      <c r="N429" s="37">
        <f t="shared" si="405"/>
        <v>2.4710399999999999</v>
      </c>
      <c r="O429" s="35">
        <f t="shared" si="406"/>
        <v>180.46005120000001</v>
      </c>
      <c r="P429" s="38">
        <f t="shared" si="266"/>
        <v>188.18205120000002</v>
      </c>
      <c r="Q429" s="39"/>
    </row>
    <row r="430" spans="1:17" x14ac:dyDescent="0.25">
      <c r="A430" s="122" t="str">
        <f>IF(TRIM(G430)&lt;&gt;"",COUNTA(G$9:$G430)&amp;"","")</f>
        <v>364</v>
      </c>
      <c r="B430" s="123" t="s">
        <v>609</v>
      </c>
      <c r="C430" s="123" t="s">
        <v>609</v>
      </c>
      <c r="D430" s="50"/>
      <c r="E430" s="211" t="s">
        <v>669</v>
      </c>
      <c r="F430" s="193">
        <v>29.36</v>
      </c>
      <c r="G430" s="193" t="s">
        <v>228</v>
      </c>
      <c r="H430" s="33"/>
      <c r="I430" s="82"/>
      <c r="J430" s="34"/>
      <c r="K430" s="35"/>
      <c r="L430" s="36"/>
      <c r="M430" s="37"/>
      <c r="N430" s="37"/>
      <c r="O430" s="35"/>
      <c r="P430" s="38">
        <f t="shared" si="266"/>
        <v>0</v>
      </c>
      <c r="Q430" s="39"/>
    </row>
    <row r="431" spans="1:17" ht="30" x14ac:dyDescent="0.25">
      <c r="A431" s="122" t="str">
        <f>IF(TRIM(G431)&lt;&gt;"",COUNTA(G$9:$G431)&amp;"","")</f>
        <v>365</v>
      </c>
      <c r="B431" s="123" t="s">
        <v>609</v>
      </c>
      <c r="C431" s="123" t="s">
        <v>609</v>
      </c>
      <c r="D431" s="50"/>
      <c r="E431" s="111" t="s">
        <v>670</v>
      </c>
      <c r="F431" s="124">
        <f>F430</f>
        <v>29.36</v>
      </c>
      <c r="G431" s="125" t="s">
        <v>228</v>
      </c>
      <c r="H431" s="33">
        <v>0.1</v>
      </c>
      <c r="I431" s="82">
        <f t="shared" ref="I431:I434" si="407">IF(F431=0,"",F431+(F431*H431))</f>
        <v>32.295999999999999</v>
      </c>
      <c r="J431" s="34">
        <f>(14.34/10)*6</f>
        <v>8.6039999999999992</v>
      </c>
      <c r="K431" s="35">
        <f t="shared" ref="K431:K434" si="408">IF(F431=0,"",J431*I431)</f>
        <v>277.87478399999998</v>
      </c>
      <c r="L431" s="36">
        <f t="shared" ref="L431:L434" si="409">IF(F431=0,"",L$14)</f>
        <v>73.03</v>
      </c>
      <c r="M431" s="37">
        <f>(0.178/10)*6</f>
        <v>0.10680000000000001</v>
      </c>
      <c r="N431" s="37">
        <f t="shared" ref="N431:N434" si="410">IF(F431=0,"",M431*I431)</f>
        <v>3.4492128000000002</v>
      </c>
      <c r="O431" s="35">
        <f t="shared" ref="O431:O434" si="411">IF(F431=0,"",N431*L431)</f>
        <v>251.89601078400003</v>
      </c>
      <c r="P431" s="38">
        <f t="shared" si="266"/>
        <v>529.77079478400003</v>
      </c>
      <c r="Q431" s="39"/>
    </row>
    <row r="432" spans="1:17" x14ac:dyDescent="0.25">
      <c r="A432" s="122" t="str">
        <f>IF(TRIM(G432)&lt;&gt;"",COUNTA(G$9:$G432)&amp;"","")</f>
        <v>366</v>
      </c>
      <c r="B432" s="123" t="s">
        <v>609</v>
      </c>
      <c r="C432" s="123" t="s">
        <v>609</v>
      </c>
      <c r="D432" s="50"/>
      <c r="E432" s="111" t="s">
        <v>612</v>
      </c>
      <c r="F432" s="124">
        <f>F430</f>
        <v>29.36</v>
      </c>
      <c r="G432" s="125" t="s">
        <v>228</v>
      </c>
      <c r="H432" s="33">
        <v>0.1</v>
      </c>
      <c r="I432" s="82">
        <f t="shared" si="407"/>
        <v>32.295999999999999</v>
      </c>
      <c r="J432" s="34">
        <v>1.51</v>
      </c>
      <c r="K432" s="35">
        <f t="shared" si="408"/>
        <v>48.766959999999997</v>
      </c>
      <c r="L432" s="36">
        <f t="shared" si="409"/>
        <v>73.03</v>
      </c>
      <c r="M432" s="37">
        <v>3.5999999999999997E-2</v>
      </c>
      <c r="N432" s="37">
        <f t="shared" si="410"/>
        <v>1.1626559999999999</v>
      </c>
      <c r="O432" s="35">
        <f t="shared" si="411"/>
        <v>84.908767679999997</v>
      </c>
      <c r="P432" s="38">
        <f t="shared" si="266"/>
        <v>133.67572767999999</v>
      </c>
      <c r="Q432" s="39"/>
    </row>
    <row r="433" spans="1:17" x14ac:dyDescent="0.25">
      <c r="A433" s="122" t="str">
        <f>IF(TRIM(G433)&lt;&gt;"",COUNTA(G$9:$G433)&amp;"","")</f>
        <v>367</v>
      </c>
      <c r="B433" s="123" t="s">
        <v>609</v>
      </c>
      <c r="C433" s="123" t="s">
        <v>609</v>
      </c>
      <c r="D433" s="50"/>
      <c r="E433" s="111" t="s">
        <v>627</v>
      </c>
      <c r="F433" s="124">
        <f>F430*4.5*2</f>
        <v>264.24</v>
      </c>
      <c r="G433" s="125" t="s">
        <v>214</v>
      </c>
      <c r="H433" s="33">
        <v>0.1</v>
      </c>
      <c r="I433" s="82">
        <f t="shared" si="407"/>
        <v>290.66399999999999</v>
      </c>
      <c r="J433" s="34">
        <v>0.54</v>
      </c>
      <c r="K433" s="35">
        <f t="shared" si="408"/>
        <v>156.95856000000001</v>
      </c>
      <c r="L433" s="36">
        <f t="shared" si="409"/>
        <v>73.03</v>
      </c>
      <c r="M433" s="37">
        <v>1.7000000000000001E-2</v>
      </c>
      <c r="N433" s="37">
        <f t="shared" si="410"/>
        <v>4.9412880000000001</v>
      </c>
      <c r="O433" s="35">
        <f t="shared" si="411"/>
        <v>360.86226264000004</v>
      </c>
      <c r="P433" s="38">
        <f t="shared" ref="P433:P454" si="412">IF(F433=0,"",K433+O433)</f>
        <v>517.82082264000007</v>
      </c>
      <c r="Q433" s="39"/>
    </row>
    <row r="434" spans="1:17" x14ac:dyDescent="0.25">
      <c r="A434" s="122" t="str">
        <f>IF(TRIM(G434)&lt;&gt;"",COUNTA(G$9:$G434)&amp;"","")</f>
        <v>368</v>
      </c>
      <c r="B434" s="123" t="s">
        <v>609</v>
      </c>
      <c r="C434" s="123" t="s">
        <v>609</v>
      </c>
      <c r="D434" s="50"/>
      <c r="E434" s="111" t="s">
        <v>706</v>
      </c>
      <c r="F434" s="124">
        <f>F430*4</f>
        <v>117.44</v>
      </c>
      <c r="G434" s="125" t="s">
        <v>228</v>
      </c>
      <c r="H434" s="33">
        <v>0.1</v>
      </c>
      <c r="I434" s="82">
        <f t="shared" si="407"/>
        <v>129.184</v>
      </c>
      <c r="J434" s="34">
        <v>0.05</v>
      </c>
      <c r="K434" s="35">
        <f t="shared" si="408"/>
        <v>6.4592000000000001</v>
      </c>
      <c r="L434" s="36">
        <f t="shared" si="409"/>
        <v>73.03</v>
      </c>
      <c r="M434" s="37">
        <v>1.6E-2</v>
      </c>
      <c r="N434" s="37">
        <f t="shared" si="410"/>
        <v>2.0669439999999999</v>
      </c>
      <c r="O434" s="35">
        <f t="shared" si="411"/>
        <v>150.94892031999998</v>
      </c>
      <c r="P434" s="38">
        <f t="shared" si="412"/>
        <v>157.40812031999999</v>
      </c>
      <c r="Q434" s="39"/>
    </row>
    <row r="435" spans="1:17" x14ac:dyDescent="0.25">
      <c r="A435" s="122" t="str">
        <f>IF(TRIM(G435)&lt;&gt;"",COUNTA(G$9:$G435)&amp;"","")</f>
        <v>369</v>
      </c>
      <c r="B435" s="123" t="s">
        <v>609</v>
      </c>
      <c r="C435" s="123" t="s">
        <v>609</v>
      </c>
      <c r="D435" s="50"/>
      <c r="E435" s="211" t="s">
        <v>671</v>
      </c>
      <c r="F435" s="193">
        <v>13.88</v>
      </c>
      <c r="G435" s="193" t="s">
        <v>228</v>
      </c>
      <c r="H435" s="33"/>
      <c r="I435" s="82"/>
      <c r="J435" s="34"/>
      <c r="K435" s="35"/>
      <c r="L435" s="36"/>
      <c r="M435" s="37"/>
      <c r="N435" s="37"/>
      <c r="O435" s="35"/>
      <c r="P435" s="38">
        <f t="shared" si="412"/>
        <v>0</v>
      </c>
      <c r="Q435" s="39"/>
    </row>
    <row r="436" spans="1:17" ht="30" x14ac:dyDescent="0.25">
      <c r="A436" s="122" t="str">
        <f>IF(TRIM(G436)&lt;&gt;"",COUNTA(G$9:$G436)&amp;"","")</f>
        <v>370</v>
      </c>
      <c r="B436" s="123" t="s">
        <v>609</v>
      </c>
      <c r="C436" s="123" t="s">
        <v>609</v>
      </c>
      <c r="D436" s="50"/>
      <c r="E436" s="111" t="s">
        <v>672</v>
      </c>
      <c r="F436" s="124">
        <f>F435</f>
        <v>13.88</v>
      </c>
      <c r="G436" s="125" t="s">
        <v>228</v>
      </c>
      <c r="H436" s="33">
        <v>0.1</v>
      </c>
      <c r="I436" s="82">
        <f t="shared" ref="I436:I439" si="413">IF(F436=0,"",F436+(F436*H436))</f>
        <v>15.268000000000001</v>
      </c>
      <c r="J436" s="34">
        <f>(14.34/10)*14</f>
        <v>20.076000000000001</v>
      </c>
      <c r="K436" s="35">
        <f t="shared" ref="K436:K439" si="414">IF(F436=0,"",J436*I436)</f>
        <v>306.52036800000002</v>
      </c>
      <c r="L436" s="36">
        <f t="shared" ref="L436:L439" si="415">IF(F436=0,"",L$14)</f>
        <v>73.03</v>
      </c>
      <c r="M436" s="37">
        <f>(0.178/10)*14</f>
        <v>0.2492</v>
      </c>
      <c r="N436" s="37">
        <f t="shared" ref="N436:N439" si="416">IF(F436=0,"",M436*I436)</f>
        <v>3.8047856000000002</v>
      </c>
      <c r="O436" s="35">
        <f t="shared" ref="O436:O439" si="417">IF(F436=0,"",N436*L436)</f>
        <v>277.86349236800004</v>
      </c>
      <c r="P436" s="38">
        <f t="shared" si="412"/>
        <v>584.38386036800011</v>
      </c>
      <c r="Q436" s="39"/>
    </row>
    <row r="437" spans="1:17" x14ac:dyDescent="0.25">
      <c r="A437" s="122" t="str">
        <f>IF(TRIM(G437)&lt;&gt;"",COUNTA(G$9:$G437)&amp;"","")</f>
        <v>371</v>
      </c>
      <c r="B437" s="123" t="s">
        <v>609</v>
      </c>
      <c r="C437" s="123" t="s">
        <v>609</v>
      </c>
      <c r="D437" s="50"/>
      <c r="E437" s="111" t="s">
        <v>612</v>
      </c>
      <c r="F437" s="124">
        <f>F435</f>
        <v>13.88</v>
      </c>
      <c r="G437" s="125" t="s">
        <v>228</v>
      </c>
      <c r="H437" s="33">
        <v>0.1</v>
      </c>
      <c r="I437" s="82">
        <f t="shared" si="413"/>
        <v>15.268000000000001</v>
      </c>
      <c r="J437" s="34">
        <v>1.51</v>
      </c>
      <c r="K437" s="35">
        <f t="shared" si="414"/>
        <v>23.054680000000001</v>
      </c>
      <c r="L437" s="36">
        <f t="shared" si="415"/>
        <v>73.03</v>
      </c>
      <c r="M437" s="37">
        <v>3.5999999999999997E-2</v>
      </c>
      <c r="N437" s="37">
        <f t="shared" si="416"/>
        <v>0.54964800000000003</v>
      </c>
      <c r="O437" s="35">
        <f t="shared" si="417"/>
        <v>40.140793440000003</v>
      </c>
      <c r="P437" s="38">
        <f t="shared" si="412"/>
        <v>63.195473440000001</v>
      </c>
      <c r="Q437" s="39"/>
    </row>
    <row r="438" spans="1:17" x14ac:dyDescent="0.25">
      <c r="A438" s="122" t="str">
        <f>IF(TRIM(G438)&lt;&gt;"",COUNTA(G$9:$G438)&amp;"","")</f>
        <v>372</v>
      </c>
      <c r="B438" s="123" t="s">
        <v>609</v>
      </c>
      <c r="C438" s="123" t="s">
        <v>609</v>
      </c>
      <c r="D438" s="50"/>
      <c r="E438" s="111" t="s">
        <v>627</v>
      </c>
      <c r="F438" s="124">
        <f>F435*13.5*2</f>
        <v>374.76000000000005</v>
      </c>
      <c r="G438" s="125" t="s">
        <v>214</v>
      </c>
      <c r="H438" s="33">
        <v>0.1</v>
      </c>
      <c r="I438" s="82">
        <f t="shared" si="413"/>
        <v>412.23600000000005</v>
      </c>
      <c r="J438" s="34">
        <v>0.54</v>
      </c>
      <c r="K438" s="35">
        <f t="shared" si="414"/>
        <v>222.60744000000005</v>
      </c>
      <c r="L438" s="36">
        <f t="shared" si="415"/>
        <v>73.03</v>
      </c>
      <c r="M438" s="37">
        <v>1.7000000000000001E-2</v>
      </c>
      <c r="N438" s="37">
        <f t="shared" si="416"/>
        <v>7.0080120000000017</v>
      </c>
      <c r="O438" s="35">
        <f t="shared" si="417"/>
        <v>511.79511636000012</v>
      </c>
      <c r="P438" s="38">
        <f t="shared" si="412"/>
        <v>734.40255636000018</v>
      </c>
      <c r="Q438" s="39"/>
    </row>
    <row r="439" spans="1:17" x14ac:dyDescent="0.25">
      <c r="A439" s="122" t="str">
        <f>IF(TRIM(G439)&lt;&gt;"",COUNTA(G$9:$G439)&amp;"","")</f>
        <v>373</v>
      </c>
      <c r="B439" s="123" t="s">
        <v>609</v>
      </c>
      <c r="C439" s="123" t="s">
        <v>609</v>
      </c>
      <c r="D439" s="50"/>
      <c r="E439" s="111" t="s">
        <v>706</v>
      </c>
      <c r="F439" s="124">
        <f>F435*4</f>
        <v>55.52</v>
      </c>
      <c r="G439" s="125" t="s">
        <v>228</v>
      </c>
      <c r="H439" s="33">
        <v>0.1</v>
      </c>
      <c r="I439" s="82">
        <f t="shared" si="413"/>
        <v>61.072000000000003</v>
      </c>
      <c r="J439" s="34">
        <v>0.05</v>
      </c>
      <c r="K439" s="35">
        <f t="shared" si="414"/>
        <v>3.0536000000000003</v>
      </c>
      <c r="L439" s="36">
        <f t="shared" si="415"/>
        <v>73.03</v>
      </c>
      <c r="M439" s="37">
        <v>1.6E-2</v>
      </c>
      <c r="N439" s="37">
        <f t="shared" si="416"/>
        <v>0.97715200000000002</v>
      </c>
      <c r="O439" s="35">
        <f t="shared" si="417"/>
        <v>71.361410559999996</v>
      </c>
      <c r="P439" s="38">
        <f t="shared" si="412"/>
        <v>74.415010559999999</v>
      </c>
      <c r="Q439" s="39"/>
    </row>
    <row r="440" spans="1:17" x14ac:dyDescent="0.25">
      <c r="A440" s="122" t="str">
        <f>IF(TRIM(G440)&lt;&gt;"",COUNTA(G$9:$G440)&amp;"","")</f>
        <v>374</v>
      </c>
      <c r="B440" s="123" t="s">
        <v>609</v>
      </c>
      <c r="C440" s="123" t="s">
        <v>609</v>
      </c>
      <c r="D440" s="50"/>
      <c r="E440" s="211" t="s">
        <v>673</v>
      </c>
      <c r="F440" s="193">
        <v>13.86</v>
      </c>
      <c r="G440" s="193" t="s">
        <v>228</v>
      </c>
      <c r="H440" s="33"/>
      <c r="I440" s="82"/>
      <c r="J440" s="34"/>
      <c r="K440" s="35"/>
      <c r="L440" s="36"/>
      <c r="M440" s="37"/>
      <c r="N440" s="37"/>
      <c r="O440" s="35"/>
      <c r="P440" s="38">
        <f t="shared" si="412"/>
        <v>0</v>
      </c>
      <c r="Q440" s="39"/>
    </row>
    <row r="441" spans="1:17" ht="30" x14ac:dyDescent="0.25">
      <c r="A441" s="122" t="str">
        <f>IF(TRIM(G441)&lt;&gt;"",COUNTA(G$9:$G441)&amp;"","")</f>
        <v>375</v>
      </c>
      <c r="B441" s="123" t="s">
        <v>609</v>
      </c>
      <c r="C441" s="123" t="s">
        <v>609</v>
      </c>
      <c r="D441" s="50"/>
      <c r="E441" s="111" t="s">
        <v>672</v>
      </c>
      <c r="F441" s="124">
        <f>F440</f>
        <v>13.86</v>
      </c>
      <c r="G441" s="125" t="s">
        <v>228</v>
      </c>
      <c r="H441" s="33">
        <v>0.1</v>
      </c>
      <c r="I441" s="82">
        <f t="shared" ref="I441:I444" si="418">IF(F441=0,"",F441+(F441*H441))</f>
        <v>15.245999999999999</v>
      </c>
      <c r="J441" s="34">
        <f>(14.34/10)*14</f>
        <v>20.076000000000001</v>
      </c>
      <c r="K441" s="35">
        <f t="shared" ref="K441:K444" si="419">IF(F441=0,"",J441*I441)</f>
        <v>306.07869599999998</v>
      </c>
      <c r="L441" s="36">
        <f t="shared" ref="L441:L444" si="420">IF(F441=0,"",L$14)</f>
        <v>73.03</v>
      </c>
      <c r="M441" s="37">
        <f>(0.178/10)*14</f>
        <v>0.2492</v>
      </c>
      <c r="N441" s="37">
        <f t="shared" ref="N441:N444" si="421">IF(F441=0,"",M441*I441)</f>
        <v>3.7993031999999998</v>
      </c>
      <c r="O441" s="35">
        <f t="shared" ref="O441:O444" si="422">IF(F441=0,"",N441*L441)</f>
        <v>277.463112696</v>
      </c>
      <c r="P441" s="38">
        <f t="shared" si="412"/>
        <v>583.54180869599998</v>
      </c>
      <c r="Q441" s="39"/>
    </row>
    <row r="442" spans="1:17" x14ac:dyDescent="0.25">
      <c r="A442" s="122" t="str">
        <f>IF(TRIM(G442)&lt;&gt;"",COUNTA(G$9:$G442)&amp;"","")</f>
        <v>376</v>
      </c>
      <c r="B442" s="123" t="s">
        <v>609</v>
      </c>
      <c r="C442" s="123" t="s">
        <v>609</v>
      </c>
      <c r="D442" s="50"/>
      <c r="E442" s="111" t="s">
        <v>612</v>
      </c>
      <c r="F442" s="124">
        <f>F440</f>
        <v>13.86</v>
      </c>
      <c r="G442" s="125" t="s">
        <v>228</v>
      </c>
      <c r="H442" s="33">
        <v>0.1</v>
      </c>
      <c r="I442" s="82">
        <f t="shared" si="418"/>
        <v>15.245999999999999</v>
      </c>
      <c r="J442" s="34">
        <v>1.51</v>
      </c>
      <c r="K442" s="35">
        <f t="shared" si="419"/>
        <v>23.021459999999998</v>
      </c>
      <c r="L442" s="36">
        <f t="shared" si="420"/>
        <v>73.03</v>
      </c>
      <c r="M442" s="37">
        <v>3.5999999999999997E-2</v>
      </c>
      <c r="N442" s="37">
        <f t="shared" si="421"/>
        <v>0.5488559999999999</v>
      </c>
      <c r="O442" s="35">
        <f t="shared" si="422"/>
        <v>40.082953679999996</v>
      </c>
      <c r="P442" s="38">
        <f t="shared" si="412"/>
        <v>63.104413679999993</v>
      </c>
      <c r="Q442" s="39"/>
    </row>
    <row r="443" spans="1:17" x14ac:dyDescent="0.25">
      <c r="A443" s="122" t="str">
        <f>IF(TRIM(G443)&lt;&gt;"",COUNTA(G$9:$G443)&amp;"","")</f>
        <v>377</v>
      </c>
      <c r="B443" s="123" t="s">
        <v>609</v>
      </c>
      <c r="C443" s="123" t="s">
        <v>609</v>
      </c>
      <c r="D443" s="50"/>
      <c r="E443" s="111" t="s">
        <v>627</v>
      </c>
      <c r="F443" s="124">
        <f>F440*13.25*2</f>
        <v>367.28999999999996</v>
      </c>
      <c r="G443" s="125" t="s">
        <v>214</v>
      </c>
      <c r="H443" s="33">
        <v>0.1</v>
      </c>
      <c r="I443" s="82">
        <f t="shared" si="418"/>
        <v>404.01899999999995</v>
      </c>
      <c r="J443" s="34">
        <v>0.54</v>
      </c>
      <c r="K443" s="35">
        <f t="shared" si="419"/>
        <v>218.17025999999998</v>
      </c>
      <c r="L443" s="36">
        <f t="shared" si="420"/>
        <v>73.03</v>
      </c>
      <c r="M443" s="37">
        <v>1.7000000000000001E-2</v>
      </c>
      <c r="N443" s="37">
        <f t="shared" si="421"/>
        <v>6.8683229999999993</v>
      </c>
      <c r="O443" s="35">
        <f t="shared" si="422"/>
        <v>501.59362868999995</v>
      </c>
      <c r="P443" s="38">
        <f t="shared" si="412"/>
        <v>719.76388868999993</v>
      </c>
      <c r="Q443" s="39"/>
    </row>
    <row r="444" spans="1:17" x14ac:dyDescent="0.25">
      <c r="A444" s="122" t="str">
        <f>IF(TRIM(G444)&lt;&gt;"",COUNTA(G$9:$G444)&amp;"","")</f>
        <v>378</v>
      </c>
      <c r="B444" s="123" t="s">
        <v>609</v>
      </c>
      <c r="C444" s="123" t="s">
        <v>609</v>
      </c>
      <c r="D444" s="50"/>
      <c r="E444" s="111" t="s">
        <v>706</v>
      </c>
      <c r="F444" s="124">
        <f>F440*4</f>
        <v>55.44</v>
      </c>
      <c r="G444" s="125" t="s">
        <v>228</v>
      </c>
      <c r="H444" s="33">
        <v>0.1</v>
      </c>
      <c r="I444" s="82">
        <f t="shared" si="418"/>
        <v>60.983999999999995</v>
      </c>
      <c r="J444" s="34">
        <v>0.05</v>
      </c>
      <c r="K444" s="35">
        <f t="shared" si="419"/>
        <v>3.0491999999999999</v>
      </c>
      <c r="L444" s="36">
        <f t="shared" si="420"/>
        <v>73.03</v>
      </c>
      <c r="M444" s="37">
        <v>1.6E-2</v>
      </c>
      <c r="N444" s="37">
        <f t="shared" si="421"/>
        <v>0.97574399999999994</v>
      </c>
      <c r="O444" s="35">
        <f t="shared" si="422"/>
        <v>71.258584319999997</v>
      </c>
      <c r="P444" s="38">
        <f t="shared" si="412"/>
        <v>74.307784319999996</v>
      </c>
      <c r="Q444" s="39"/>
    </row>
    <row r="445" spans="1:17" x14ac:dyDescent="0.25">
      <c r="A445" s="122" t="str">
        <f>IF(TRIM(G445)&lt;&gt;"",COUNTA(G$9:$G445)&amp;"","")</f>
        <v>379</v>
      </c>
      <c r="B445" s="123" t="s">
        <v>609</v>
      </c>
      <c r="C445" s="123" t="s">
        <v>609</v>
      </c>
      <c r="D445" s="50"/>
      <c r="E445" s="211" t="s">
        <v>674</v>
      </c>
      <c r="F445" s="193">
        <v>18.579999999999998</v>
      </c>
      <c r="G445" s="193" t="s">
        <v>228</v>
      </c>
      <c r="H445" s="33"/>
      <c r="I445" s="82"/>
      <c r="J445" s="34"/>
      <c r="K445" s="35"/>
      <c r="L445" s="36"/>
      <c r="M445" s="37"/>
      <c r="N445" s="37"/>
      <c r="O445" s="35"/>
      <c r="P445" s="38">
        <f t="shared" si="412"/>
        <v>0</v>
      </c>
      <c r="Q445" s="39"/>
    </row>
    <row r="446" spans="1:17" ht="30" x14ac:dyDescent="0.25">
      <c r="A446" s="122" t="str">
        <f>IF(TRIM(G446)&lt;&gt;"",COUNTA(G$9:$G446)&amp;"","")</f>
        <v>380</v>
      </c>
      <c r="B446" s="123" t="s">
        <v>609</v>
      </c>
      <c r="C446" s="123" t="s">
        <v>609</v>
      </c>
      <c r="D446" s="50"/>
      <c r="E446" s="111" t="s">
        <v>754</v>
      </c>
      <c r="F446" s="124">
        <f>F445</f>
        <v>18.579999999999998</v>
      </c>
      <c r="G446" s="125" t="s">
        <v>228</v>
      </c>
      <c r="H446" s="33">
        <v>0.1</v>
      </c>
      <c r="I446" s="82">
        <f t="shared" ref="I446:I449" si="423">IF(F446=0,"",F446+(F446*H446))</f>
        <v>20.437999999999999</v>
      </c>
      <c r="J446" s="34">
        <f>(14.34/10)*12</f>
        <v>17.207999999999998</v>
      </c>
      <c r="K446" s="35">
        <f t="shared" ref="K446:K449" si="424">IF(F446=0,"",J446*I446)</f>
        <v>351.69710399999997</v>
      </c>
      <c r="L446" s="36">
        <f t="shared" ref="L446:L449" si="425">IF(F446=0,"",L$14)</f>
        <v>73.03</v>
      </c>
      <c r="M446" s="37">
        <f>(0.178/10)*12</f>
        <v>0.21360000000000001</v>
      </c>
      <c r="N446" s="37">
        <f t="shared" ref="N446:N449" si="426">IF(F446=0,"",M446*I446)</f>
        <v>4.3655568000000002</v>
      </c>
      <c r="O446" s="35">
        <f t="shared" ref="O446:O449" si="427">IF(F446=0,"",N446*L446)</f>
        <v>318.816613104</v>
      </c>
      <c r="P446" s="38">
        <f t="shared" si="412"/>
        <v>670.51371710399997</v>
      </c>
      <c r="Q446" s="39"/>
    </row>
    <row r="447" spans="1:17" x14ac:dyDescent="0.25">
      <c r="A447" s="122" t="str">
        <f>IF(TRIM(G447)&lt;&gt;"",COUNTA(G$9:$G447)&amp;"","")</f>
        <v>381</v>
      </c>
      <c r="B447" s="123" t="s">
        <v>609</v>
      </c>
      <c r="C447" s="123" t="s">
        <v>609</v>
      </c>
      <c r="D447" s="50"/>
      <c r="E447" s="111" t="s">
        <v>612</v>
      </c>
      <c r="F447" s="124">
        <f>F445</f>
        <v>18.579999999999998</v>
      </c>
      <c r="G447" s="125" t="s">
        <v>228</v>
      </c>
      <c r="H447" s="33">
        <v>0.1</v>
      </c>
      <c r="I447" s="82">
        <f t="shared" si="423"/>
        <v>20.437999999999999</v>
      </c>
      <c r="J447" s="34">
        <v>1.51</v>
      </c>
      <c r="K447" s="35">
        <f t="shared" si="424"/>
        <v>30.861379999999997</v>
      </c>
      <c r="L447" s="36">
        <f t="shared" si="425"/>
        <v>73.03</v>
      </c>
      <c r="M447" s="37">
        <v>3.5999999999999997E-2</v>
      </c>
      <c r="N447" s="37">
        <f t="shared" si="426"/>
        <v>0.73576799999999987</v>
      </c>
      <c r="O447" s="35">
        <f t="shared" si="427"/>
        <v>53.733137039999988</v>
      </c>
      <c r="P447" s="38">
        <f t="shared" si="412"/>
        <v>84.594517039999985</v>
      </c>
      <c r="Q447" s="39"/>
    </row>
    <row r="448" spans="1:17" x14ac:dyDescent="0.25">
      <c r="A448" s="122" t="str">
        <f>IF(TRIM(G448)&lt;&gt;"",COUNTA(G$9:$G448)&amp;"","")</f>
        <v>382</v>
      </c>
      <c r="B448" s="123" t="s">
        <v>609</v>
      </c>
      <c r="C448" s="123" t="s">
        <v>609</v>
      </c>
      <c r="D448" s="50"/>
      <c r="E448" s="111" t="s">
        <v>627</v>
      </c>
      <c r="F448" s="124">
        <f>F445*11.5*2</f>
        <v>427.34</v>
      </c>
      <c r="G448" s="125" t="s">
        <v>214</v>
      </c>
      <c r="H448" s="33">
        <v>0.1</v>
      </c>
      <c r="I448" s="82">
        <f t="shared" si="423"/>
        <v>470.07399999999996</v>
      </c>
      <c r="J448" s="34">
        <v>0.54</v>
      </c>
      <c r="K448" s="35">
        <f t="shared" si="424"/>
        <v>253.83995999999999</v>
      </c>
      <c r="L448" s="36">
        <f t="shared" si="425"/>
        <v>73.03</v>
      </c>
      <c r="M448" s="37">
        <v>1.7000000000000001E-2</v>
      </c>
      <c r="N448" s="37">
        <f t="shared" si="426"/>
        <v>7.9912580000000002</v>
      </c>
      <c r="O448" s="35">
        <f t="shared" si="427"/>
        <v>583.60157174000005</v>
      </c>
      <c r="P448" s="38">
        <f t="shared" si="412"/>
        <v>837.44153174000007</v>
      </c>
      <c r="Q448" s="39"/>
    </row>
    <row r="449" spans="1:17" x14ac:dyDescent="0.25">
      <c r="A449" s="122" t="str">
        <f>IF(TRIM(G449)&lt;&gt;"",COUNTA(G$9:$G449)&amp;"","")</f>
        <v>383</v>
      </c>
      <c r="B449" s="123" t="s">
        <v>609</v>
      </c>
      <c r="C449" s="123" t="s">
        <v>609</v>
      </c>
      <c r="D449" s="50"/>
      <c r="E449" s="111" t="s">
        <v>706</v>
      </c>
      <c r="F449" s="124">
        <f>F445*4</f>
        <v>74.319999999999993</v>
      </c>
      <c r="G449" s="125" t="s">
        <v>228</v>
      </c>
      <c r="H449" s="33">
        <v>0.1</v>
      </c>
      <c r="I449" s="82">
        <f t="shared" si="423"/>
        <v>81.751999999999995</v>
      </c>
      <c r="J449" s="34">
        <v>0.05</v>
      </c>
      <c r="K449" s="35">
        <f t="shared" si="424"/>
        <v>4.0876000000000001</v>
      </c>
      <c r="L449" s="36">
        <f t="shared" si="425"/>
        <v>73.03</v>
      </c>
      <c r="M449" s="37">
        <v>1.6E-2</v>
      </c>
      <c r="N449" s="37">
        <f t="shared" si="426"/>
        <v>1.3080319999999999</v>
      </c>
      <c r="O449" s="35">
        <f t="shared" si="427"/>
        <v>95.525576959999995</v>
      </c>
      <c r="P449" s="38">
        <f t="shared" si="412"/>
        <v>99.61317695999999</v>
      </c>
      <c r="Q449" s="39"/>
    </row>
    <row r="450" spans="1:17" x14ac:dyDescent="0.25">
      <c r="A450" s="122" t="str">
        <f>IF(TRIM(G450)&lt;&gt;"",COUNTA(G$9:$G450)&amp;"","")</f>
        <v>384</v>
      </c>
      <c r="B450" s="123" t="s">
        <v>609</v>
      </c>
      <c r="C450" s="123" t="s">
        <v>609</v>
      </c>
      <c r="D450" s="50"/>
      <c r="E450" s="211" t="s">
        <v>675</v>
      </c>
      <c r="F450" s="193">
        <v>48.47</v>
      </c>
      <c r="G450" s="193" t="s">
        <v>228</v>
      </c>
      <c r="H450" s="33"/>
      <c r="I450" s="82"/>
      <c r="J450" s="34"/>
      <c r="K450" s="35"/>
      <c r="L450" s="36"/>
      <c r="M450" s="37"/>
      <c r="N450" s="37"/>
      <c r="O450" s="35"/>
      <c r="P450" s="38">
        <f t="shared" si="412"/>
        <v>0</v>
      </c>
      <c r="Q450" s="39"/>
    </row>
    <row r="451" spans="1:17" ht="30" x14ac:dyDescent="0.25">
      <c r="A451" s="122" t="str">
        <f>IF(TRIM(G451)&lt;&gt;"",COUNTA(G$9:$G451)&amp;"","")</f>
        <v>385</v>
      </c>
      <c r="B451" s="123" t="s">
        <v>609</v>
      </c>
      <c r="C451" s="123" t="s">
        <v>609</v>
      </c>
      <c r="D451" s="50"/>
      <c r="E451" s="111" t="s">
        <v>672</v>
      </c>
      <c r="F451" s="124">
        <f>F450</f>
        <v>48.47</v>
      </c>
      <c r="G451" s="125" t="s">
        <v>228</v>
      </c>
      <c r="H451" s="33">
        <v>0.1</v>
      </c>
      <c r="I451" s="82">
        <f t="shared" ref="I451:I454" si="428">IF(F451=0,"",F451+(F451*H451))</f>
        <v>53.317</v>
      </c>
      <c r="J451" s="34">
        <f>(14.34/10)*14</f>
        <v>20.076000000000001</v>
      </c>
      <c r="K451" s="35">
        <f t="shared" ref="K451:K454" si="429">IF(F451=0,"",J451*I451)</f>
        <v>1070.392092</v>
      </c>
      <c r="L451" s="36">
        <f t="shared" ref="L451:L454" si="430">IF(F451=0,"",L$14)</f>
        <v>73.03</v>
      </c>
      <c r="M451" s="37">
        <f>(0.178/10)*14</f>
        <v>0.2492</v>
      </c>
      <c r="N451" s="37">
        <f t="shared" ref="N451:N454" si="431">IF(F451=0,"",M451*I451)</f>
        <v>13.286596400000001</v>
      </c>
      <c r="O451" s="35">
        <f t="shared" ref="O451:O454" si="432">IF(F451=0,"",N451*L451)</f>
        <v>970.3201350920001</v>
      </c>
      <c r="P451" s="38">
        <f t="shared" si="412"/>
        <v>2040.7122270920001</v>
      </c>
      <c r="Q451" s="39"/>
    </row>
    <row r="452" spans="1:17" x14ac:dyDescent="0.25">
      <c r="A452" s="122" t="str">
        <f>IF(TRIM(G452)&lt;&gt;"",COUNTA(G$9:$G452)&amp;"","")</f>
        <v>386</v>
      </c>
      <c r="B452" s="123" t="s">
        <v>609</v>
      </c>
      <c r="C452" s="123" t="s">
        <v>609</v>
      </c>
      <c r="D452" s="50"/>
      <c r="E452" s="111" t="s">
        <v>612</v>
      </c>
      <c r="F452" s="124">
        <f>F450</f>
        <v>48.47</v>
      </c>
      <c r="G452" s="125" t="s">
        <v>228</v>
      </c>
      <c r="H452" s="33">
        <v>0.1</v>
      </c>
      <c r="I452" s="82">
        <f t="shared" si="428"/>
        <v>53.317</v>
      </c>
      <c r="J452" s="34">
        <v>1.51</v>
      </c>
      <c r="K452" s="35">
        <f t="shared" si="429"/>
        <v>80.508669999999995</v>
      </c>
      <c r="L452" s="36">
        <f t="shared" si="430"/>
        <v>73.03</v>
      </c>
      <c r="M452" s="37">
        <v>3.5999999999999997E-2</v>
      </c>
      <c r="N452" s="37">
        <f t="shared" si="431"/>
        <v>1.9194119999999999</v>
      </c>
      <c r="O452" s="35">
        <f t="shared" si="432"/>
        <v>140.17465836</v>
      </c>
      <c r="P452" s="38">
        <f t="shared" si="412"/>
        <v>220.68332835999999</v>
      </c>
      <c r="Q452" s="39"/>
    </row>
    <row r="453" spans="1:17" x14ac:dyDescent="0.25">
      <c r="A453" s="122" t="str">
        <f>IF(TRIM(G453)&lt;&gt;"",COUNTA(G$9:$G453)&amp;"","")</f>
        <v>387</v>
      </c>
      <c r="B453" s="123" t="s">
        <v>609</v>
      </c>
      <c r="C453" s="123" t="s">
        <v>609</v>
      </c>
      <c r="D453" s="50"/>
      <c r="E453" s="111" t="s">
        <v>627</v>
      </c>
      <c r="F453" s="124">
        <f>F450*13.25*2</f>
        <v>1284.4549999999999</v>
      </c>
      <c r="G453" s="125" t="s">
        <v>214</v>
      </c>
      <c r="H453" s="33">
        <v>0.1</v>
      </c>
      <c r="I453" s="82">
        <f t="shared" si="428"/>
        <v>1412.9005</v>
      </c>
      <c r="J453" s="34">
        <v>0.54</v>
      </c>
      <c r="K453" s="35">
        <f t="shared" si="429"/>
        <v>762.96627000000001</v>
      </c>
      <c r="L453" s="36">
        <f t="shared" si="430"/>
        <v>73.03</v>
      </c>
      <c r="M453" s="37">
        <v>1.7000000000000001E-2</v>
      </c>
      <c r="N453" s="37">
        <f t="shared" si="431"/>
        <v>24.019308500000001</v>
      </c>
      <c r="O453" s="35">
        <f t="shared" si="432"/>
        <v>1754.1300997550002</v>
      </c>
      <c r="P453" s="38">
        <f t="shared" si="412"/>
        <v>2517.0963697550001</v>
      </c>
      <c r="Q453" s="39"/>
    </row>
    <row r="454" spans="1:17" x14ac:dyDescent="0.25">
      <c r="A454" s="122" t="str">
        <f>IF(TRIM(G454)&lt;&gt;"",COUNTA(G$9:$G454)&amp;"","")</f>
        <v>388</v>
      </c>
      <c r="B454" s="123" t="s">
        <v>609</v>
      </c>
      <c r="C454" s="123" t="s">
        <v>609</v>
      </c>
      <c r="D454" s="50"/>
      <c r="E454" s="111" t="s">
        <v>706</v>
      </c>
      <c r="F454" s="124">
        <f>F450*4</f>
        <v>193.88</v>
      </c>
      <c r="G454" s="125" t="s">
        <v>228</v>
      </c>
      <c r="H454" s="33">
        <v>0.1</v>
      </c>
      <c r="I454" s="82">
        <f t="shared" si="428"/>
        <v>213.268</v>
      </c>
      <c r="J454" s="34">
        <v>0.05</v>
      </c>
      <c r="K454" s="35">
        <f t="shared" si="429"/>
        <v>10.663400000000001</v>
      </c>
      <c r="L454" s="36">
        <f t="shared" si="430"/>
        <v>73.03</v>
      </c>
      <c r="M454" s="37">
        <v>1.6E-2</v>
      </c>
      <c r="N454" s="37">
        <f t="shared" si="431"/>
        <v>3.4122880000000002</v>
      </c>
      <c r="O454" s="35">
        <f t="shared" si="432"/>
        <v>249.19939264000001</v>
      </c>
      <c r="P454" s="38">
        <f t="shared" si="412"/>
        <v>259.86279264000001</v>
      </c>
      <c r="Q454" s="39"/>
    </row>
    <row r="455" spans="1:17" x14ac:dyDescent="0.25">
      <c r="A455" s="122" t="str">
        <f>IF(TRIM(G455)&lt;&gt;"",COUNTA(G$9:$G455)&amp;"","")</f>
        <v/>
      </c>
      <c r="B455" s="123" t="s">
        <v>609</v>
      </c>
      <c r="C455" s="123" t="s">
        <v>609</v>
      </c>
      <c r="D455" s="50"/>
      <c r="E455" s="212" t="s">
        <v>676</v>
      </c>
      <c r="F455" s="106"/>
      <c r="G455" s="106"/>
      <c r="H455" s="33"/>
      <c r="I455" s="82"/>
      <c r="J455" s="34"/>
      <c r="K455" s="35"/>
      <c r="L455" s="36"/>
      <c r="M455" s="37"/>
      <c r="N455" s="37"/>
      <c r="O455" s="35"/>
      <c r="P455" s="38"/>
      <c r="Q455" s="39"/>
    </row>
    <row r="456" spans="1:17" ht="30" x14ac:dyDescent="0.25">
      <c r="A456" s="122" t="str">
        <f>IF(TRIM(G456)&lt;&gt;"",COUNTA(G$9:$G456)&amp;"","")</f>
        <v>389</v>
      </c>
      <c r="B456" s="123" t="s">
        <v>609</v>
      </c>
      <c r="C456" s="123" t="s">
        <v>609</v>
      </c>
      <c r="D456" s="50"/>
      <c r="E456" s="111" t="s">
        <v>677</v>
      </c>
      <c r="F456" s="124">
        <v>184.32</v>
      </c>
      <c r="G456" s="125" t="s">
        <v>228</v>
      </c>
      <c r="H456" s="33">
        <v>0.1</v>
      </c>
      <c r="I456" s="82">
        <f t="shared" si="272"/>
        <v>202.75199999999998</v>
      </c>
      <c r="J456" s="34">
        <f>(9.61/10)*2</f>
        <v>1.9219999999999999</v>
      </c>
      <c r="K456" s="35">
        <f t="shared" si="273"/>
        <v>389.68934399999995</v>
      </c>
      <c r="L456" s="36">
        <f t="shared" si="274"/>
        <v>73.03</v>
      </c>
      <c r="M456" s="37">
        <f>(0.16/10)*2</f>
        <v>3.2000000000000001E-2</v>
      </c>
      <c r="N456" s="37">
        <f t="shared" si="275"/>
        <v>6.4880639999999996</v>
      </c>
      <c r="O456" s="35">
        <f t="shared" si="276"/>
        <v>473.82331391999998</v>
      </c>
      <c r="P456" s="38">
        <f t="shared" ref="P456:P472" si="433">IF(F456=0,"",K456+O456)</f>
        <v>863.51265791999992</v>
      </c>
      <c r="Q456" s="39"/>
    </row>
    <row r="457" spans="1:17" ht="30" x14ac:dyDescent="0.25">
      <c r="A457" s="122" t="str">
        <f>IF(TRIM(G457)&lt;&gt;"",COUNTA(G$9:$G457)&amp;"","")</f>
        <v>390</v>
      </c>
      <c r="B457" s="123" t="s">
        <v>609</v>
      </c>
      <c r="C457" s="123" t="s">
        <v>609</v>
      </c>
      <c r="D457" s="50"/>
      <c r="E457" s="111" t="s">
        <v>678</v>
      </c>
      <c r="F457" s="124">
        <v>184.32</v>
      </c>
      <c r="G457" s="125" t="s">
        <v>228</v>
      </c>
      <c r="H457" s="33">
        <v>0.1</v>
      </c>
      <c r="I457" s="82">
        <f t="shared" si="272"/>
        <v>202.75199999999998</v>
      </c>
      <c r="J457" s="34">
        <f>(9.61/10)*2</f>
        <v>1.9219999999999999</v>
      </c>
      <c r="K457" s="35">
        <f t="shared" si="273"/>
        <v>389.68934399999995</v>
      </c>
      <c r="L457" s="36">
        <f t="shared" si="274"/>
        <v>73.03</v>
      </c>
      <c r="M457" s="37">
        <f>(0.16/10)*2</f>
        <v>3.2000000000000001E-2</v>
      </c>
      <c r="N457" s="37">
        <f t="shared" si="275"/>
        <v>6.4880639999999996</v>
      </c>
      <c r="O457" s="35">
        <f t="shared" si="276"/>
        <v>473.82331391999998</v>
      </c>
      <c r="P457" s="38">
        <f t="shared" si="433"/>
        <v>863.51265791999992</v>
      </c>
      <c r="Q457" s="39"/>
    </row>
    <row r="458" spans="1:17" x14ac:dyDescent="0.25">
      <c r="A458" s="122" t="str">
        <f>IF(TRIM(G458)&lt;&gt;"",COUNTA(G$9:$G458)&amp;"","")</f>
        <v>391</v>
      </c>
      <c r="B458" s="123" t="s">
        <v>609</v>
      </c>
      <c r="C458" s="123" t="s">
        <v>609</v>
      </c>
      <c r="D458" s="50"/>
      <c r="E458" s="111" t="s">
        <v>679</v>
      </c>
      <c r="F458" s="124">
        <v>221.6499</v>
      </c>
      <c r="G458" s="125" t="s">
        <v>214</v>
      </c>
      <c r="H458" s="33">
        <v>0.1</v>
      </c>
      <c r="I458" s="82">
        <f t="shared" si="272"/>
        <v>243.81488999999999</v>
      </c>
      <c r="J458" s="34">
        <v>0.54</v>
      </c>
      <c r="K458" s="35">
        <f t="shared" si="273"/>
        <v>131.6600406</v>
      </c>
      <c r="L458" s="36">
        <f t="shared" si="274"/>
        <v>73.03</v>
      </c>
      <c r="M458" s="37">
        <v>2.1000000000000001E-2</v>
      </c>
      <c r="N458" s="37">
        <f t="shared" si="275"/>
        <v>5.12011269</v>
      </c>
      <c r="O458" s="35">
        <f t="shared" si="276"/>
        <v>373.9218297507</v>
      </c>
      <c r="P458" s="38">
        <f t="shared" si="433"/>
        <v>505.5818703507</v>
      </c>
      <c r="Q458" s="39"/>
    </row>
    <row r="459" spans="1:17" x14ac:dyDescent="0.25">
      <c r="A459" s="122" t="str">
        <f>IF(TRIM(G459)&lt;&gt;"",COUNTA(G$9:$G464)&amp;"","")</f>
        <v>396</v>
      </c>
      <c r="B459" s="123" t="s">
        <v>681</v>
      </c>
      <c r="C459" s="123" t="s">
        <v>681</v>
      </c>
      <c r="D459" s="50"/>
      <c r="E459" s="111" t="s">
        <v>686</v>
      </c>
      <c r="F459" s="124">
        <f>139*3</f>
        <v>417</v>
      </c>
      <c r="G459" s="125" t="s">
        <v>214</v>
      </c>
      <c r="H459" s="33">
        <v>0.1</v>
      </c>
      <c r="I459" s="82">
        <f>IF(F459=0,"",F459+(F459*H459))</f>
        <v>458.7</v>
      </c>
      <c r="J459" s="34">
        <v>1.1000000000000001</v>
      </c>
      <c r="K459" s="35">
        <f>IF(F459=0,"",J459*I459)</f>
        <v>504.57000000000005</v>
      </c>
      <c r="L459" s="36">
        <f>IF(F459=0,"",L$14)</f>
        <v>73.03</v>
      </c>
      <c r="M459" s="37">
        <v>0.03</v>
      </c>
      <c r="N459" s="37">
        <f>IF(F459=0,"",M459*I459)</f>
        <v>13.760999999999999</v>
      </c>
      <c r="O459" s="35">
        <f>IF(F459=0,"",N459*L459)</f>
        <v>1004.96583</v>
      </c>
      <c r="P459" s="38">
        <f>IF(F459=0,"",K459+O459)</f>
        <v>1509.53583</v>
      </c>
      <c r="Q459" s="39"/>
    </row>
    <row r="460" spans="1:17" x14ac:dyDescent="0.25">
      <c r="A460" s="122" t="str">
        <f>IF(TRIM(G460)&lt;&gt;"",COUNTA(G$9:$G460)&amp;"","")</f>
        <v/>
      </c>
      <c r="B460" s="123"/>
      <c r="C460" s="123"/>
      <c r="D460" s="50"/>
      <c r="E460" s="198" t="s">
        <v>680</v>
      </c>
      <c r="F460" s="124"/>
      <c r="G460" s="125"/>
      <c r="H460" s="33" t="str">
        <f t="shared" ref="H460" si="434">IF(F460=0,"",0)</f>
        <v/>
      </c>
      <c r="I460" s="82" t="str">
        <f t="shared" si="272"/>
        <v/>
      </c>
      <c r="J460" s="34" t="str">
        <f t="shared" ref="J460:J469" si="435">IF(F460=0,"",0)</f>
        <v/>
      </c>
      <c r="K460" s="35" t="str">
        <f t="shared" si="273"/>
        <v/>
      </c>
      <c r="L460" s="36" t="str">
        <f t="shared" si="274"/>
        <v/>
      </c>
      <c r="M460" s="37" t="str">
        <f t="shared" ref="M460:M469" si="436">IF(F460=0,"",0)</f>
        <v/>
      </c>
      <c r="N460" s="37" t="str">
        <f t="shared" si="275"/>
        <v/>
      </c>
      <c r="O460" s="35" t="str">
        <f t="shared" si="276"/>
        <v/>
      </c>
      <c r="P460" s="38" t="str">
        <f t="shared" si="433"/>
        <v/>
      </c>
      <c r="Q460" s="39"/>
    </row>
    <row r="461" spans="1:17" x14ac:dyDescent="0.25">
      <c r="A461" s="122" t="str">
        <f>IF(TRIM(G461)&lt;&gt;"",COUNTA(G$9:$G461)&amp;"","")</f>
        <v>393</v>
      </c>
      <c r="B461" s="123" t="s">
        <v>681</v>
      </c>
      <c r="C461" s="123" t="s">
        <v>681</v>
      </c>
      <c r="D461" s="50"/>
      <c r="E461" s="111" t="s">
        <v>682</v>
      </c>
      <c r="F461" s="124">
        <v>1885.06</v>
      </c>
      <c r="G461" s="125" t="s">
        <v>214</v>
      </c>
      <c r="H461" s="33">
        <v>0.1</v>
      </c>
      <c r="I461" s="82">
        <f t="shared" si="272"/>
        <v>2073.5659999999998</v>
      </c>
      <c r="J461" s="34">
        <v>0.54</v>
      </c>
      <c r="K461" s="35">
        <f t="shared" si="273"/>
        <v>1119.7256399999999</v>
      </c>
      <c r="L461" s="36">
        <f t="shared" si="274"/>
        <v>73.03</v>
      </c>
      <c r="M461" s="37">
        <v>2.1000000000000001E-2</v>
      </c>
      <c r="N461" s="37">
        <f t="shared" si="275"/>
        <v>43.544885999999998</v>
      </c>
      <c r="O461" s="35">
        <f t="shared" si="276"/>
        <v>3180.0830245799998</v>
      </c>
      <c r="P461" s="38">
        <f t="shared" si="433"/>
        <v>4299.8086645799995</v>
      </c>
      <c r="Q461" s="39"/>
    </row>
    <row r="462" spans="1:17" x14ac:dyDescent="0.25">
      <c r="A462" s="122" t="str">
        <f>IF(TRIM(G462)&lt;&gt;"",COUNTA(G$9:$G462)&amp;"","")</f>
        <v>394</v>
      </c>
      <c r="B462" s="123" t="s">
        <v>681</v>
      </c>
      <c r="C462" s="123" t="s">
        <v>681</v>
      </c>
      <c r="D462" s="50"/>
      <c r="E462" s="111" t="s">
        <v>683</v>
      </c>
      <c r="F462" s="124">
        <f>1011.58+687.53+111.98</f>
        <v>1811.0900000000001</v>
      </c>
      <c r="G462" s="125" t="s">
        <v>214</v>
      </c>
      <c r="H462" s="33">
        <v>0.1</v>
      </c>
      <c r="I462" s="82">
        <f t="shared" si="272"/>
        <v>1992.1990000000001</v>
      </c>
      <c r="J462" s="34">
        <v>0.68</v>
      </c>
      <c r="K462" s="35">
        <f t="shared" si="273"/>
        <v>1354.69532</v>
      </c>
      <c r="L462" s="36">
        <f t="shared" si="274"/>
        <v>73.03</v>
      </c>
      <c r="M462" s="37">
        <v>2.1000000000000001E-2</v>
      </c>
      <c r="N462" s="37">
        <f t="shared" si="275"/>
        <v>41.836179000000001</v>
      </c>
      <c r="O462" s="35">
        <f t="shared" si="276"/>
        <v>3055.2961523700001</v>
      </c>
      <c r="P462" s="38">
        <f t="shared" si="433"/>
        <v>4409.9914723700003</v>
      </c>
      <c r="Q462" s="39"/>
    </row>
    <row r="463" spans="1:17" x14ac:dyDescent="0.25">
      <c r="A463" s="122" t="str">
        <f>IF(TRIM(G463)&lt;&gt;"",COUNTA(G$9:$G463)&amp;"","")</f>
        <v>395</v>
      </c>
      <c r="B463" s="123" t="s">
        <v>681</v>
      </c>
      <c r="C463" s="123" t="s">
        <v>681</v>
      </c>
      <c r="D463" s="50"/>
      <c r="E463" s="111" t="s">
        <v>684</v>
      </c>
      <c r="F463" s="124">
        <f>1.023*555.27</f>
        <v>568.04120999999998</v>
      </c>
      <c r="G463" s="125" t="s">
        <v>214</v>
      </c>
      <c r="H463" s="33">
        <v>0.1</v>
      </c>
      <c r="I463" s="82">
        <f t="shared" si="272"/>
        <v>624.84533099999999</v>
      </c>
      <c r="J463" s="34">
        <v>24.54</v>
      </c>
      <c r="K463" s="35">
        <f t="shared" si="273"/>
        <v>15333.704422739998</v>
      </c>
      <c r="L463" s="36">
        <f t="shared" si="274"/>
        <v>73.03</v>
      </c>
      <c r="M463" s="37">
        <v>6.4000000000000001E-2</v>
      </c>
      <c r="N463" s="37">
        <f t="shared" si="275"/>
        <v>39.990101183999997</v>
      </c>
      <c r="O463" s="35">
        <f t="shared" si="276"/>
        <v>2920.4770894675198</v>
      </c>
      <c r="P463" s="38">
        <f t="shared" si="433"/>
        <v>18254.181512207517</v>
      </c>
      <c r="Q463" s="39"/>
    </row>
    <row r="464" spans="1:17" x14ac:dyDescent="0.25">
      <c r="A464" s="122" t="str">
        <f>IF(TRIM(G464)&lt;&gt;"",COUNTA(G$9:$G464)&amp;"","")</f>
        <v>396</v>
      </c>
      <c r="B464" s="123" t="s">
        <v>681</v>
      </c>
      <c r="C464" s="123" t="s">
        <v>681</v>
      </c>
      <c r="D464" s="50"/>
      <c r="E464" s="111" t="s">
        <v>685</v>
      </c>
      <c r="F464" s="124">
        <f>1.023*769.14</f>
        <v>786.83021999999994</v>
      </c>
      <c r="G464" s="125" t="s">
        <v>214</v>
      </c>
      <c r="H464" s="33">
        <v>0.1</v>
      </c>
      <c r="I464" s="82">
        <f t="shared" si="272"/>
        <v>865.51324199999999</v>
      </c>
      <c r="J464" s="34">
        <v>24.54</v>
      </c>
      <c r="K464" s="35">
        <f t="shared" si="273"/>
        <v>21239.69495868</v>
      </c>
      <c r="L464" s="36">
        <f t="shared" si="274"/>
        <v>73.03</v>
      </c>
      <c r="M464" s="37">
        <v>6.4000000000000001E-2</v>
      </c>
      <c r="N464" s="37">
        <f t="shared" si="275"/>
        <v>55.392847488000001</v>
      </c>
      <c r="O464" s="35">
        <f t="shared" si="276"/>
        <v>4045.3396520486403</v>
      </c>
      <c r="P464" s="38">
        <f t="shared" si="433"/>
        <v>25285.034610728639</v>
      </c>
      <c r="Q464" s="39"/>
    </row>
    <row r="465" spans="1:17" x14ac:dyDescent="0.25">
      <c r="A465" s="122" t="str">
        <f>IF(TRIM(G465)&lt;&gt;"",COUNTA(G$9:$G465)&amp;"","")</f>
        <v/>
      </c>
      <c r="B465" s="123"/>
      <c r="C465" s="123"/>
      <c r="D465" s="50"/>
      <c r="E465" s="111"/>
      <c r="F465" s="124"/>
      <c r="G465" s="125"/>
      <c r="H465" s="33"/>
      <c r="I465" s="82"/>
      <c r="J465" s="34"/>
      <c r="K465" s="35"/>
      <c r="L465" s="36"/>
      <c r="M465" s="37"/>
      <c r="N465" s="37"/>
      <c r="O465" s="35"/>
      <c r="P465" s="38"/>
      <c r="Q465" s="39"/>
    </row>
    <row r="466" spans="1:17" x14ac:dyDescent="0.25">
      <c r="A466" s="122" t="str">
        <f>IF(TRIM(G466)&lt;&gt;"",COUNTA(G$9:$G466)&amp;"","")</f>
        <v>397</v>
      </c>
      <c r="B466" s="123" t="s">
        <v>681</v>
      </c>
      <c r="C466" s="123" t="s">
        <v>681</v>
      </c>
      <c r="D466" s="50"/>
      <c r="E466" s="195" t="s">
        <v>756</v>
      </c>
      <c r="F466" s="124">
        <v>31</v>
      </c>
      <c r="G466" s="125" t="s">
        <v>250</v>
      </c>
      <c r="H466" s="33"/>
      <c r="I466" s="82"/>
      <c r="J466" s="34"/>
      <c r="K466" s="35">
        <f t="shared" si="273"/>
        <v>0</v>
      </c>
      <c r="L466" s="36">
        <f t="shared" si="274"/>
        <v>73.03</v>
      </c>
      <c r="M466" s="37"/>
      <c r="N466" s="37">
        <f t="shared" si="275"/>
        <v>0</v>
      </c>
      <c r="O466" s="35">
        <f t="shared" si="276"/>
        <v>0</v>
      </c>
      <c r="P466" s="38">
        <f t="shared" si="433"/>
        <v>0</v>
      </c>
      <c r="Q466" s="39"/>
    </row>
    <row r="467" spans="1:17" x14ac:dyDescent="0.25">
      <c r="A467" s="122" t="str">
        <f>IF(TRIM(G467)&lt;&gt;"",COUNTA(G$9:$G467)&amp;"","")</f>
        <v>398</v>
      </c>
      <c r="B467" s="123" t="s">
        <v>681</v>
      </c>
      <c r="C467" s="123" t="s">
        <v>681</v>
      </c>
      <c r="D467" s="50"/>
      <c r="E467" s="195" t="s">
        <v>755</v>
      </c>
      <c r="F467" s="124">
        <v>64</v>
      </c>
      <c r="G467" s="125" t="s">
        <v>250</v>
      </c>
      <c r="H467" s="33"/>
      <c r="I467" s="82"/>
      <c r="J467" s="34"/>
      <c r="K467" s="35">
        <f t="shared" si="273"/>
        <v>0</v>
      </c>
      <c r="L467" s="36">
        <f t="shared" si="274"/>
        <v>73.03</v>
      </c>
      <c r="M467" s="37"/>
      <c r="N467" s="37">
        <f t="shared" si="275"/>
        <v>0</v>
      </c>
      <c r="O467" s="35">
        <f t="shared" si="276"/>
        <v>0</v>
      </c>
      <c r="P467" s="38">
        <f t="shared" si="433"/>
        <v>0</v>
      </c>
      <c r="Q467" s="39"/>
    </row>
    <row r="468" spans="1:17" x14ac:dyDescent="0.25">
      <c r="A468" s="122" t="str">
        <f>IF(TRIM(G468)&lt;&gt;"",COUNTA(G$9:$G468)&amp;"","")</f>
        <v>399</v>
      </c>
      <c r="B468" s="123" t="s">
        <v>681</v>
      </c>
      <c r="C468" s="123" t="s">
        <v>681</v>
      </c>
      <c r="D468" s="50"/>
      <c r="E468" s="195" t="s">
        <v>755</v>
      </c>
      <c r="F468" s="124">
        <v>315</v>
      </c>
      <c r="G468" s="125" t="s">
        <v>250</v>
      </c>
      <c r="H468" s="33"/>
      <c r="I468" s="82"/>
      <c r="J468" s="34"/>
      <c r="K468" s="35">
        <f t="shared" si="273"/>
        <v>0</v>
      </c>
      <c r="L468" s="36">
        <f t="shared" si="274"/>
        <v>73.03</v>
      </c>
      <c r="M468" s="37"/>
      <c r="N468" s="37">
        <f t="shared" si="275"/>
        <v>0</v>
      </c>
      <c r="O468" s="35">
        <f t="shared" si="276"/>
        <v>0</v>
      </c>
      <c r="P468" s="38">
        <f t="shared" si="433"/>
        <v>0</v>
      </c>
      <c r="Q468" s="39"/>
    </row>
    <row r="469" spans="1:17" x14ac:dyDescent="0.25">
      <c r="A469" s="122" t="str">
        <f>IF(TRIM(G469)&lt;&gt;"",COUNTA(G$9:$G469)&amp;"","")</f>
        <v/>
      </c>
      <c r="B469" s="123"/>
      <c r="C469" s="123"/>
      <c r="D469" s="50"/>
      <c r="E469" s="111"/>
      <c r="F469" s="124"/>
      <c r="G469" s="125"/>
      <c r="H469" s="33" t="str">
        <f t="shared" ref="H469:H472" si="437">IF(F469=0,"",0)</f>
        <v/>
      </c>
      <c r="I469" s="82" t="str">
        <f t="shared" si="272"/>
        <v/>
      </c>
      <c r="J469" s="34" t="str">
        <f t="shared" si="435"/>
        <v/>
      </c>
      <c r="K469" s="35" t="str">
        <f t="shared" si="273"/>
        <v/>
      </c>
      <c r="L469" s="36" t="str">
        <f t="shared" si="274"/>
        <v/>
      </c>
      <c r="M469" s="37" t="str">
        <f t="shared" si="436"/>
        <v/>
      </c>
      <c r="N469" s="37" t="str">
        <f t="shared" si="275"/>
        <v/>
      </c>
      <c r="O469" s="35" t="str">
        <f t="shared" si="276"/>
        <v/>
      </c>
      <c r="P469" s="38" t="str">
        <f t="shared" si="433"/>
        <v/>
      </c>
      <c r="Q469" s="39"/>
    </row>
    <row r="470" spans="1:17" x14ac:dyDescent="0.25">
      <c r="A470" s="122" t="str">
        <f>IF(TRIM(G470)&lt;&gt;"",COUNTA(G$9:$G470)&amp;"","")</f>
        <v>400</v>
      </c>
      <c r="B470" s="123"/>
      <c r="C470" s="123"/>
      <c r="D470" s="128"/>
      <c r="E470" s="163" t="s">
        <v>55</v>
      </c>
      <c r="F470" s="124">
        <f>ROUNDUP(((((20255/40)*28)/180))/2,0)</f>
        <v>40</v>
      </c>
      <c r="G470" s="125" t="s">
        <v>52</v>
      </c>
      <c r="H470" s="33">
        <f t="shared" si="437"/>
        <v>0</v>
      </c>
      <c r="I470" s="82">
        <f t="shared" si="272"/>
        <v>40</v>
      </c>
      <c r="J470" s="34">
        <v>12</v>
      </c>
      <c r="K470" s="35">
        <f t="shared" si="273"/>
        <v>480</v>
      </c>
      <c r="L470" s="36">
        <f t="shared" si="274"/>
        <v>73.03</v>
      </c>
      <c r="M470" s="37">
        <v>1.85</v>
      </c>
      <c r="N470" s="37">
        <f t="shared" si="275"/>
        <v>74</v>
      </c>
      <c r="O470" s="35">
        <f t="shared" si="276"/>
        <v>5404.22</v>
      </c>
      <c r="P470" s="38">
        <f t="shared" si="433"/>
        <v>5884.22</v>
      </c>
      <c r="Q470" s="2"/>
    </row>
    <row r="471" spans="1:17" x14ac:dyDescent="0.25">
      <c r="A471" s="122" t="str">
        <f>IF(TRIM(G471)&lt;&gt;"",COUNTA(G$9:$G471)&amp;"","")</f>
        <v>401</v>
      </c>
      <c r="B471" s="123"/>
      <c r="C471" s="123"/>
      <c r="D471" s="128"/>
      <c r="E471" s="163" t="s">
        <v>50</v>
      </c>
      <c r="F471" s="124">
        <f>ROUNDUP(((20255*0.053)/12),0)</f>
        <v>90</v>
      </c>
      <c r="G471" s="125" t="s">
        <v>53</v>
      </c>
      <c r="H471" s="33">
        <f t="shared" si="437"/>
        <v>0</v>
      </c>
      <c r="I471" s="82">
        <f t="shared" si="272"/>
        <v>90</v>
      </c>
      <c r="J471" s="34">
        <v>35</v>
      </c>
      <c r="K471" s="35">
        <f t="shared" si="273"/>
        <v>3150</v>
      </c>
      <c r="L471" s="36">
        <f t="shared" si="274"/>
        <v>73.03</v>
      </c>
      <c r="M471" s="37">
        <v>1.75</v>
      </c>
      <c r="N471" s="37">
        <f t="shared" si="275"/>
        <v>157.5</v>
      </c>
      <c r="O471" s="35">
        <f t="shared" si="276"/>
        <v>11502.225</v>
      </c>
      <c r="P471" s="38">
        <f t="shared" si="433"/>
        <v>14652.225</v>
      </c>
      <c r="Q471" s="2"/>
    </row>
    <row r="472" spans="1:17" x14ac:dyDescent="0.25">
      <c r="A472" s="122" t="str">
        <f>IF(TRIM(G472)&lt;&gt;"",COUNTA(G$9:$G472)&amp;"","")</f>
        <v>402</v>
      </c>
      <c r="B472" s="123"/>
      <c r="C472" s="123"/>
      <c r="D472" s="128"/>
      <c r="E472" s="163" t="s">
        <v>51</v>
      </c>
      <c r="F472" s="124">
        <f>ROUNDUP((((20255/40)*50)/244),0)</f>
        <v>104</v>
      </c>
      <c r="G472" s="125" t="s">
        <v>54</v>
      </c>
      <c r="H472" s="33">
        <f t="shared" si="437"/>
        <v>0</v>
      </c>
      <c r="I472" s="82">
        <f t="shared" si="272"/>
        <v>104</v>
      </c>
      <c r="J472" s="34">
        <v>13.2</v>
      </c>
      <c r="K472" s="35">
        <f t="shared" si="273"/>
        <v>1372.8</v>
      </c>
      <c r="L472" s="36">
        <f t="shared" si="274"/>
        <v>73.03</v>
      </c>
      <c r="M472" s="37">
        <v>1.5</v>
      </c>
      <c r="N472" s="37">
        <f t="shared" si="275"/>
        <v>156</v>
      </c>
      <c r="O472" s="35">
        <f t="shared" si="276"/>
        <v>11392.68</v>
      </c>
      <c r="P472" s="38">
        <f t="shared" si="433"/>
        <v>12765.48</v>
      </c>
      <c r="Q472" s="2"/>
    </row>
    <row r="473" spans="1:17" s="28" customFormat="1" ht="19.149999999999999" customHeight="1" x14ac:dyDescent="0.25">
      <c r="A473" s="122" t="str">
        <f>IF(TRIM(G473)&lt;&gt;"",COUNTA(G$9:$G473)&amp;"","")</f>
        <v/>
      </c>
      <c r="B473" s="49"/>
      <c r="C473" s="49"/>
      <c r="D473" s="50">
        <v>93013</v>
      </c>
      <c r="E473" s="201" t="s">
        <v>110</v>
      </c>
      <c r="F473" s="124"/>
      <c r="G473" s="200"/>
      <c r="H473" s="33" t="str">
        <f t="shared" si="258"/>
        <v/>
      </c>
      <c r="I473" s="82" t="str">
        <f t="shared" si="259"/>
        <v/>
      </c>
      <c r="J473" s="34" t="str">
        <f t="shared" si="260"/>
        <v/>
      </c>
      <c r="K473" s="35" t="str">
        <f t="shared" si="261"/>
        <v/>
      </c>
      <c r="L473" s="36" t="str">
        <f t="shared" si="262"/>
        <v/>
      </c>
      <c r="M473" s="37" t="str">
        <f t="shared" si="263"/>
        <v/>
      </c>
      <c r="N473" s="37" t="str">
        <f t="shared" si="264"/>
        <v/>
      </c>
      <c r="O473" s="35" t="str">
        <f t="shared" si="265"/>
        <v/>
      </c>
      <c r="P473" s="38" t="str">
        <f t="shared" si="266"/>
        <v/>
      </c>
      <c r="Q473" s="39"/>
    </row>
    <row r="474" spans="1:17" ht="30" x14ac:dyDescent="0.25">
      <c r="A474" s="122" t="str">
        <f>IF(TRIM(G474)&lt;&gt;"",COUNTA(G$9:$G474)&amp;"","")</f>
        <v>403</v>
      </c>
      <c r="B474" s="123" t="s">
        <v>513</v>
      </c>
      <c r="C474" s="123" t="s">
        <v>514</v>
      </c>
      <c r="D474" s="50"/>
      <c r="E474" s="204" t="s">
        <v>707</v>
      </c>
      <c r="F474" s="124">
        <v>469.76</v>
      </c>
      <c r="G474" s="200" t="s">
        <v>214</v>
      </c>
      <c r="H474" s="33">
        <v>0.1</v>
      </c>
      <c r="I474" s="82">
        <f t="shared" si="259"/>
        <v>516.73599999999999</v>
      </c>
      <c r="J474" s="34">
        <v>5.04</v>
      </c>
      <c r="K474" s="35">
        <f t="shared" si="261"/>
        <v>2604.34944</v>
      </c>
      <c r="L474" s="36">
        <f t="shared" si="262"/>
        <v>73.03</v>
      </c>
      <c r="M474" s="37">
        <v>5.5E-2</v>
      </c>
      <c r="N474" s="37">
        <f t="shared" si="264"/>
        <v>28.420480000000001</v>
      </c>
      <c r="O474" s="35">
        <f t="shared" si="265"/>
        <v>2075.5476544000003</v>
      </c>
      <c r="P474" s="38">
        <f t="shared" si="266"/>
        <v>4679.8970944000002</v>
      </c>
      <c r="Q474" s="39"/>
    </row>
    <row r="475" spans="1:17" x14ac:dyDescent="0.25">
      <c r="A475" s="122" t="str">
        <f>IF(TRIM(G475)&lt;&gt;"",COUNTA(G$9:$G475)&amp;"","")</f>
        <v>404</v>
      </c>
      <c r="B475" s="123" t="s">
        <v>513</v>
      </c>
      <c r="C475" s="123" t="s">
        <v>514</v>
      </c>
      <c r="D475" s="50"/>
      <c r="E475" s="204" t="s">
        <v>515</v>
      </c>
      <c r="F475" s="124">
        <v>326.41000000000003</v>
      </c>
      <c r="G475" s="200" t="s">
        <v>214</v>
      </c>
      <c r="H475" s="33">
        <v>0.1</v>
      </c>
      <c r="I475" s="82">
        <f t="shared" si="259"/>
        <v>359.05100000000004</v>
      </c>
      <c r="J475" s="34">
        <v>5.04</v>
      </c>
      <c r="K475" s="35">
        <f t="shared" si="261"/>
        <v>1809.6170400000003</v>
      </c>
      <c r="L475" s="36">
        <f t="shared" si="262"/>
        <v>73.03</v>
      </c>
      <c r="M475" s="37">
        <v>5.5E-2</v>
      </c>
      <c r="N475" s="37">
        <f t="shared" si="264"/>
        <v>19.747805000000003</v>
      </c>
      <c r="O475" s="35">
        <f t="shared" si="265"/>
        <v>1442.1821991500003</v>
      </c>
      <c r="P475" s="38">
        <f t="shared" si="266"/>
        <v>3251.7992391500006</v>
      </c>
      <c r="Q475" s="39"/>
    </row>
    <row r="476" spans="1:17" ht="30" x14ac:dyDescent="0.25">
      <c r="A476" s="122" t="str">
        <f>IF(TRIM(G476)&lt;&gt;"",COUNTA(G$9:$G476)&amp;"","")</f>
        <v>405</v>
      </c>
      <c r="B476" s="123" t="s">
        <v>513</v>
      </c>
      <c r="C476" s="123" t="s">
        <v>514</v>
      </c>
      <c r="D476" s="50"/>
      <c r="E476" s="204" t="s">
        <v>708</v>
      </c>
      <c r="F476" s="124">
        <f>139.02*3</f>
        <v>417.06000000000006</v>
      </c>
      <c r="G476" s="200" t="s">
        <v>214</v>
      </c>
      <c r="H476" s="33">
        <v>0.1</v>
      </c>
      <c r="I476" s="82">
        <f t="shared" si="259"/>
        <v>458.76600000000008</v>
      </c>
      <c r="J476" s="34">
        <v>5.04</v>
      </c>
      <c r="K476" s="35">
        <f t="shared" si="261"/>
        <v>2312.1806400000005</v>
      </c>
      <c r="L476" s="36">
        <f t="shared" si="262"/>
        <v>73.03</v>
      </c>
      <c r="M476" s="37">
        <v>0.1</v>
      </c>
      <c r="N476" s="37">
        <f t="shared" si="264"/>
        <v>45.87660000000001</v>
      </c>
      <c r="O476" s="35">
        <f t="shared" si="265"/>
        <v>3350.3680980000008</v>
      </c>
      <c r="P476" s="38">
        <f t="shared" si="266"/>
        <v>5662.5487380000013</v>
      </c>
      <c r="Q476" s="39"/>
    </row>
    <row r="477" spans="1:17" x14ac:dyDescent="0.25">
      <c r="A477" s="122" t="str">
        <f>IF(TRIM(G477)&lt;&gt;"",COUNTA(G$9:$G477)&amp;"","")</f>
        <v>406</v>
      </c>
      <c r="B477" s="123" t="s">
        <v>513</v>
      </c>
      <c r="C477" s="123" t="s">
        <v>514</v>
      </c>
      <c r="D477" s="50"/>
      <c r="E477" s="204" t="s">
        <v>583</v>
      </c>
      <c r="F477" s="124">
        <v>95.86</v>
      </c>
      <c r="G477" s="200" t="s">
        <v>228</v>
      </c>
      <c r="H477" s="33">
        <v>0.1</v>
      </c>
      <c r="I477" s="82">
        <f t="shared" si="259"/>
        <v>105.446</v>
      </c>
      <c r="J477" s="34">
        <v>5.84</v>
      </c>
      <c r="K477" s="35">
        <f t="shared" si="261"/>
        <v>615.80463999999995</v>
      </c>
      <c r="L477" s="36">
        <f t="shared" si="262"/>
        <v>73.03</v>
      </c>
      <c r="M477" s="37">
        <v>0.125</v>
      </c>
      <c r="N477" s="37">
        <f t="shared" si="264"/>
        <v>13.18075</v>
      </c>
      <c r="O477" s="35">
        <f t="shared" si="265"/>
        <v>962.59017249999999</v>
      </c>
      <c r="P477" s="38">
        <f t="shared" si="266"/>
        <v>1578.3948124999999</v>
      </c>
      <c r="Q477" s="39"/>
    </row>
    <row r="478" spans="1:17" x14ac:dyDescent="0.25">
      <c r="A478" s="122" t="str">
        <f>IF(TRIM(G478)&lt;&gt;"",COUNTA(G$9:$G478)&amp;"","")</f>
        <v>407</v>
      </c>
      <c r="B478" s="123" t="s">
        <v>513</v>
      </c>
      <c r="C478" s="123" t="s">
        <v>514</v>
      </c>
      <c r="D478" s="50"/>
      <c r="E478" s="204" t="s">
        <v>516</v>
      </c>
      <c r="F478" s="124">
        <v>195.55</v>
      </c>
      <c r="G478" s="200" t="s">
        <v>228</v>
      </c>
      <c r="H478" s="33">
        <v>0.1</v>
      </c>
      <c r="I478" s="82">
        <f t="shared" si="259"/>
        <v>215.10500000000002</v>
      </c>
      <c r="J478" s="34">
        <v>6.19</v>
      </c>
      <c r="K478" s="35">
        <f t="shared" si="261"/>
        <v>1331.4999500000001</v>
      </c>
      <c r="L478" s="36">
        <f t="shared" si="262"/>
        <v>73.03</v>
      </c>
      <c r="M478" s="37">
        <v>0.129</v>
      </c>
      <c r="N478" s="37">
        <f t="shared" si="264"/>
        <v>27.748545000000004</v>
      </c>
      <c r="O478" s="35">
        <f t="shared" si="265"/>
        <v>2026.4762413500002</v>
      </c>
      <c r="P478" s="38">
        <f t="shared" si="266"/>
        <v>3357.9761913500006</v>
      </c>
      <c r="Q478" s="39"/>
    </row>
    <row r="479" spans="1:17" s="28" customFormat="1" ht="19.149999999999999" customHeight="1" x14ac:dyDescent="0.25">
      <c r="A479" s="122" t="str">
        <f>IF(TRIM(G479)&lt;&gt;"",COUNTA(G$9:$G479)&amp;"","")</f>
        <v/>
      </c>
      <c r="B479" s="49"/>
      <c r="C479" s="49"/>
      <c r="D479" s="50" t="s">
        <v>517</v>
      </c>
      <c r="E479" s="201" t="s">
        <v>518</v>
      </c>
      <c r="F479" s="124"/>
      <c r="G479" s="200"/>
      <c r="H479" s="33" t="str">
        <f t="shared" si="258"/>
        <v/>
      </c>
      <c r="I479" s="82" t="str">
        <f t="shared" si="259"/>
        <v/>
      </c>
      <c r="J479" s="34" t="str">
        <f t="shared" si="260"/>
        <v/>
      </c>
      <c r="K479" s="35" t="str">
        <f t="shared" si="261"/>
        <v/>
      </c>
      <c r="L479" s="36" t="str">
        <f t="shared" si="262"/>
        <v/>
      </c>
      <c r="M479" s="37" t="str">
        <f t="shared" si="263"/>
        <v/>
      </c>
      <c r="N479" s="37" t="str">
        <f t="shared" si="264"/>
        <v/>
      </c>
      <c r="O479" s="35" t="str">
        <f t="shared" si="265"/>
        <v/>
      </c>
      <c r="P479" s="38" t="str">
        <f t="shared" si="266"/>
        <v/>
      </c>
      <c r="Q479" s="39"/>
    </row>
    <row r="480" spans="1:17" ht="60" x14ac:dyDescent="0.25">
      <c r="A480" s="122" t="str">
        <f>IF(TRIM(G480)&lt;&gt;"",COUNTA(G$9:$G480)&amp;"","")</f>
        <v>408</v>
      </c>
      <c r="B480" s="123" t="s">
        <v>513</v>
      </c>
      <c r="C480" s="123" t="s">
        <v>514</v>
      </c>
      <c r="D480" s="50"/>
      <c r="E480" s="204" t="s">
        <v>519</v>
      </c>
      <c r="F480" s="124">
        <v>3085.88</v>
      </c>
      <c r="G480" s="125" t="s">
        <v>214</v>
      </c>
      <c r="H480" s="33">
        <v>0.1</v>
      </c>
      <c r="I480" s="82">
        <f t="shared" si="259"/>
        <v>3394.4680000000003</v>
      </c>
      <c r="J480" s="34">
        <v>0.46</v>
      </c>
      <c r="K480" s="35">
        <f t="shared" si="261"/>
        <v>1561.4552800000001</v>
      </c>
      <c r="L480" s="36">
        <f t="shared" si="262"/>
        <v>73.03</v>
      </c>
      <c r="M480" s="37">
        <v>6.0000000000000001E-3</v>
      </c>
      <c r="N480" s="37">
        <f t="shared" si="264"/>
        <v>20.366808000000002</v>
      </c>
      <c r="O480" s="35">
        <f t="shared" si="265"/>
        <v>1487.3879882400001</v>
      </c>
      <c r="P480" s="38">
        <f t="shared" si="266"/>
        <v>3048.8432682400003</v>
      </c>
      <c r="Q480" s="39"/>
    </row>
    <row r="481" spans="1:17" x14ac:dyDescent="0.25">
      <c r="A481" s="122" t="str">
        <f>IF(TRIM(G481)&lt;&gt;"",COUNTA(G$9:$G481)&amp;"","")</f>
        <v>409</v>
      </c>
      <c r="B481" s="123" t="s">
        <v>513</v>
      </c>
      <c r="C481" s="123" t="s">
        <v>514</v>
      </c>
      <c r="D481" s="52"/>
      <c r="E481" s="205" t="s">
        <v>523</v>
      </c>
      <c r="F481" s="124">
        <v>554.65</v>
      </c>
      <c r="G481" s="200" t="s">
        <v>228</v>
      </c>
      <c r="H481" s="33">
        <v>0.1</v>
      </c>
      <c r="I481" s="82">
        <f>IF(F481=0,"",F481+(F481*H481))</f>
        <v>610.11500000000001</v>
      </c>
      <c r="J481" s="34">
        <v>3.56</v>
      </c>
      <c r="K481" s="35">
        <f>IF(F481=0,"",J481*I481)</f>
        <v>2172.0093999999999</v>
      </c>
      <c r="L481" s="36">
        <f>IF(F481=0,"",L$14)</f>
        <v>73.03</v>
      </c>
      <c r="M481" s="37">
        <v>2.5000000000000001E-2</v>
      </c>
      <c r="N481" s="37">
        <f>IF(F481=0,"",M481*I481)</f>
        <v>15.252875000000001</v>
      </c>
      <c r="O481" s="35">
        <f>IF(F481=0,"",N481*L481)</f>
        <v>1113.9174612500001</v>
      </c>
      <c r="P481" s="38">
        <f>IF(F481=0,"",K481+O481)</f>
        <v>3285.92686125</v>
      </c>
      <c r="Q481" s="39"/>
    </row>
    <row r="482" spans="1:17" s="28" customFormat="1" ht="19.149999999999999" customHeight="1" x14ac:dyDescent="0.25">
      <c r="A482" s="122" t="str">
        <f>IF(TRIM(G482)&lt;&gt;"",COUNTA(G$9:$G482)&amp;"","")</f>
        <v/>
      </c>
      <c r="B482" s="49"/>
      <c r="C482" s="49"/>
      <c r="D482" s="50" t="s">
        <v>112</v>
      </c>
      <c r="E482" s="201" t="s">
        <v>111</v>
      </c>
      <c r="F482" s="124"/>
      <c r="G482" s="200"/>
      <c r="H482" s="33" t="str">
        <f t="shared" si="258"/>
        <v/>
      </c>
      <c r="I482" s="82" t="str">
        <f t="shared" si="259"/>
        <v/>
      </c>
      <c r="J482" s="34" t="str">
        <f t="shared" si="260"/>
        <v/>
      </c>
      <c r="K482" s="35" t="str">
        <f t="shared" si="261"/>
        <v/>
      </c>
      <c r="L482" s="36" t="str">
        <f t="shared" si="262"/>
        <v/>
      </c>
      <c r="M482" s="37" t="str">
        <f t="shared" si="263"/>
        <v/>
      </c>
      <c r="N482" s="37" t="str">
        <f t="shared" si="264"/>
        <v/>
      </c>
      <c r="O482" s="35" t="str">
        <f t="shared" si="265"/>
        <v/>
      </c>
      <c r="P482" s="38" t="str">
        <f t="shared" si="266"/>
        <v/>
      </c>
      <c r="Q482" s="39"/>
    </row>
    <row r="483" spans="1:17" x14ac:dyDescent="0.25">
      <c r="A483" s="122" t="str">
        <f>IF(TRIM(G483)&lt;&gt;"",COUNTA(G$9:$G483)&amp;"","")</f>
        <v>410</v>
      </c>
      <c r="B483" s="123" t="s">
        <v>513</v>
      </c>
      <c r="C483" s="123" t="s">
        <v>514</v>
      </c>
      <c r="D483" s="50"/>
      <c r="E483" t="s">
        <v>709</v>
      </c>
      <c r="F483" s="124">
        <v>477.21</v>
      </c>
      <c r="G483" s="200" t="s">
        <v>214</v>
      </c>
      <c r="H483" s="33">
        <v>0.1</v>
      </c>
      <c r="I483" s="82">
        <f t="shared" si="259"/>
        <v>524.93100000000004</v>
      </c>
      <c r="J483" s="34">
        <v>3.25</v>
      </c>
      <c r="K483" s="35">
        <f t="shared" si="261"/>
        <v>1706.0257500000002</v>
      </c>
      <c r="L483" s="36">
        <f t="shared" si="262"/>
        <v>73.03</v>
      </c>
      <c r="M483" s="37">
        <v>1.6E-2</v>
      </c>
      <c r="N483" s="37">
        <f t="shared" si="264"/>
        <v>8.3988960000000006</v>
      </c>
      <c r="O483" s="35">
        <f t="shared" si="265"/>
        <v>613.37137488000008</v>
      </c>
      <c r="P483" s="38">
        <f t="shared" si="266"/>
        <v>2319.3971248800003</v>
      </c>
      <c r="Q483" s="39"/>
    </row>
    <row r="484" spans="1:17" x14ac:dyDescent="0.25">
      <c r="A484" s="122" t="str">
        <f>IF(TRIM(G484)&lt;&gt;"",COUNTA(G$9:$G484)&amp;"","")</f>
        <v>411</v>
      </c>
      <c r="B484" s="123" t="s">
        <v>513</v>
      </c>
      <c r="C484" s="123" t="s">
        <v>514</v>
      </c>
      <c r="D484" s="50"/>
      <c r="E484" s="205" t="s">
        <v>524</v>
      </c>
      <c r="F484" s="124">
        <v>179.4</v>
      </c>
      <c r="G484" s="200" t="s">
        <v>228</v>
      </c>
      <c r="H484" s="33">
        <v>0.1</v>
      </c>
      <c r="I484" s="82">
        <f>IF(F484=0,"",F484+(F484*H484))</f>
        <v>197.34</v>
      </c>
      <c r="J484" s="34">
        <v>2.02</v>
      </c>
      <c r="K484" s="35">
        <f>IF(F484=0,"",J484*I484)</f>
        <v>398.6268</v>
      </c>
      <c r="L484" s="36">
        <f>IF(F484=0,"",L$14)</f>
        <v>73.03</v>
      </c>
      <c r="M484" s="37">
        <v>2.5000000000000001E-2</v>
      </c>
      <c r="N484" s="37">
        <f>IF(F484=0,"",M484*I484)</f>
        <v>4.9335000000000004</v>
      </c>
      <c r="O484" s="35">
        <f>IF(F484=0,"",N484*L484)</f>
        <v>360.29350500000004</v>
      </c>
      <c r="P484" s="38">
        <f>IF(F484=0,"",K484+O484)</f>
        <v>758.9203050000001</v>
      </c>
      <c r="Q484" s="39"/>
    </row>
    <row r="485" spans="1:17" s="28" customFormat="1" ht="19.149999999999999" customHeight="1" x14ac:dyDescent="0.25">
      <c r="A485" s="122" t="str">
        <f>IF(TRIM(G485)&lt;&gt;"",COUNTA(G$9:$G485)&amp;"","")</f>
        <v/>
      </c>
      <c r="B485" s="49"/>
      <c r="C485" s="49"/>
      <c r="D485" s="50" t="s">
        <v>114</v>
      </c>
      <c r="E485" s="201" t="s">
        <v>113</v>
      </c>
      <c r="F485" s="124"/>
      <c r="G485" s="200"/>
      <c r="H485" s="33" t="str">
        <f t="shared" si="258"/>
        <v/>
      </c>
      <c r="I485" s="82" t="str">
        <f t="shared" si="259"/>
        <v/>
      </c>
      <c r="J485" s="34" t="str">
        <f t="shared" si="260"/>
        <v/>
      </c>
      <c r="K485" s="35" t="str">
        <f t="shared" si="261"/>
        <v/>
      </c>
      <c r="L485" s="36" t="str">
        <f t="shared" si="262"/>
        <v/>
      </c>
      <c r="M485" s="37" t="str">
        <f t="shared" si="263"/>
        <v/>
      </c>
      <c r="N485" s="37" t="str">
        <f t="shared" si="264"/>
        <v/>
      </c>
      <c r="O485" s="35" t="str">
        <f t="shared" si="265"/>
        <v/>
      </c>
      <c r="P485" s="38" t="str">
        <f t="shared" si="266"/>
        <v/>
      </c>
      <c r="Q485" s="39"/>
    </row>
    <row r="486" spans="1:17" x14ac:dyDescent="0.25">
      <c r="A486" s="122" t="str">
        <f>IF(TRIM(G486)&lt;&gt;"",COUNTA(G$9:$G486)&amp;"","")</f>
        <v>412</v>
      </c>
      <c r="B486" s="123" t="s">
        <v>513</v>
      </c>
      <c r="C486" s="123" t="s">
        <v>514</v>
      </c>
      <c r="D486" s="50"/>
      <c r="E486" s="204" t="s">
        <v>520</v>
      </c>
      <c r="F486" s="124">
        <f>601.79/9</f>
        <v>66.865555555555545</v>
      </c>
      <c r="G486" s="200" t="s">
        <v>1242</v>
      </c>
      <c r="H486" s="33">
        <v>0.1</v>
      </c>
      <c r="I486" s="82">
        <f t="shared" si="259"/>
        <v>73.552111111111103</v>
      </c>
      <c r="J486" s="34">
        <v>17</v>
      </c>
      <c r="K486" s="35">
        <f t="shared" si="261"/>
        <v>1250.3858888888888</v>
      </c>
      <c r="L486" s="36">
        <f t="shared" si="262"/>
        <v>73.03</v>
      </c>
      <c r="M486" s="37">
        <v>0.1</v>
      </c>
      <c r="N486" s="37">
        <f t="shared" si="264"/>
        <v>7.3552111111111103</v>
      </c>
      <c r="O486" s="35">
        <f t="shared" si="265"/>
        <v>537.15106744444438</v>
      </c>
      <c r="P486" s="38">
        <f t="shared" si="266"/>
        <v>1787.5369563333331</v>
      </c>
      <c r="Q486" s="39"/>
    </row>
    <row r="487" spans="1:17" s="28" customFormat="1" ht="19.149999999999999" customHeight="1" x14ac:dyDescent="0.25">
      <c r="A487" s="122" t="str">
        <f>IF(TRIM(G487)&lt;&gt;"",COUNTA(G$9:$G487)&amp;"","")</f>
        <v/>
      </c>
      <c r="B487" s="49"/>
      <c r="C487" s="49"/>
      <c r="D487" s="50" t="s">
        <v>118</v>
      </c>
      <c r="E487" s="201" t="s">
        <v>117</v>
      </c>
      <c r="F487" s="124"/>
      <c r="G487" s="200"/>
      <c r="H487" s="33" t="str">
        <f t="shared" ref="H487" si="438">IF(F487=0,"",0)</f>
        <v/>
      </c>
      <c r="I487" s="82" t="str">
        <f t="shared" si="259"/>
        <v/>
      </c>
      <c r="J487" s="34" t="str">
        <f t="shared" si="260"/>
        <v/>
      </c>
      <c r="K487" s="35" t="str">
        <f t="shared" si="261"/>
        <v/>
      </c>
      <c r="L487" s="36" t="str">
        <f t="shared" si="262"/>
        <v/>
      </c>
      <c r="M487" s="37" t="str">
        <f t="shared" si="263"/>
        <v/>
      </c>
      <c r="N487" s="37" t="str">
        <f t="shared" si="264"/>
        <v/>
      </c>
      <c r="O487" s="35" t="str">
        <f t="shared" si="265"/>
        <v/>
      </c>
      <c r="P487" s="38" t="str">
        <f t="shared" si="266"/>
        <v/>
      </c>
      <c r="Q487" s="39"/>
    </row>
    <row r="488" spans="1:17" x14ac:dyDescent="0.25">
      <c r="A488" s="122" t="str">
        <f>IF(TRIM(G488)&lt;&gt;"",COUNTA(G$9:$G488)&amp;"","")</f>
        <v>413</v>
      </c>
      <c r="B488" s="123" t="s">
        <v>513</v>
      </c>
      <c r="C488" s="123" t="s">
        <v>514</v>
      </c>
      <c r="D488" s="50"/>
      <c r="E488" s="204" t="s">
        <v>521</v>
      </c>
      <c r="F488" s="124">
        <v>255.58</v>
      </c>
      <c r="G488" s="200" t="s">
        <v>214</v>
      </c>
      <c r="H488" s="33">
        <v>0.1</v>
      </c>
      <c r="I488" s="82">
        <f t="shared" si="259"/>
        <v>281.13800000000003</v>
      </c>
      <c r="J488" s="34">
        <v>8.0500000000000007</v>
      </c>
      <c r="K488" s="35">
        <f t="shared" si="261"/>
        <v>2263.1609000000003</v>
      </c>
      <c r="L488" s="36">
        <f t="shared" si="262"/>
        <v>73.03</v>
      </c>
      <c r="M488" s="37">
        <v>0.114</v>
      </c>
      <c r="N488" s="37">
        <f t="shared" si="264"/>
        <v>32.049732000000006</v>
      </c>
      <c r="O488" s="35">
        <f t="shared" si="265"/>
        <v>2340.5919279600002</v>
      </c>
      <c r="P488" s="38">
        <f t="shared" si="266"/>
        <v>4603.752827960001</v>
      </c>
      <c r="Q488" s="39"/>
    </row>
    <row r="489" spans="1:17" x14ac:dyDescent="0.25">
      <c r="A489" s="122" t="str">
        <f>IF(TRIM(G489)&lt;&gt;"",COUNTA(G$9:$G489)&amp;"","")</f>
        <v>414</v>
      </c>
      <c r="B489" s="123" t="s">
        <v>513</v>
      </c>
      <c r="C489" s="123" t="s">
        <v>514</v>
      </c>
      <c r="D489" s="50"/>
      <c r="E489" s="204" t="s">
        <v>522</v>
      </c>
      <c r="F489" s="124">
        <v>60.85</v>
      </c>
      <c r="G489" s="200" t="s">
        <v>228</v>
      </c>
      <c r="H489" s="33">
        <v>0.1</v>
      </c>
      <c r="I489" s="82">
        <f t="shared" si="259"/>
        <v>66.935000000000002</v>
      </c>
      <c r="J489" s="34">
        <v>2.2200000000000002</v>
      </c>
      <c r="K489" s="35">
        <f t="shared" si="261"/>
        <v>148.59570000000002</v>
      </c>
      <c r="L489" s="36">
        <f t="shared" si="262"/>
        <v>73.03</v>
      </c>
      <c r="M489" s="37">
        <v>1.2999999999999999E-2</v>
      </c>
      <c r="N489" s="37">
        <f t="shared" si="264"/>
        <v>0.87015500000000001</v>
      </c>
      <c r="O489" s="35">
        <f t="shared" si="265"/>
        <v>63.547419650000002</v>
      </c>
      <c r="P489" s="38">
        <f t="shared" si="266"/>
        <v>212.14311965000002</v>
      </c>
      <c r="Q489" s="39"/>
    </row>
    <row r="490" spans="1:17" s="28" customFormat="1" ht="19.149999999999999" customHeight="1" x14ac:dyDescent="0.25">
      <c r="A490" s="122" t="str">
        <f>IF(TRIM(G490)&lt;&gt;"",COUNTA(G$9:$G490)&amp;"","")</f>
        <v/>
      </c>
      <c r="B490" s="49"/>
      <c r="C490" s="49"/>
      <c r="D490" s="50" t="s">
        <v>116</v>
      </c>
      <c r="E490" s="156" t="s">
        <v>115</v>
      </c>
      <c r="F490" s="124"/>
      <c r="G490" s="125"/>
      <c r="H490" s="33" t="str">
        <f t="shared" ref="H490" si="439">IF(F490=0,"",0)</f>
        <v/>
      </c>
      <c r="I490" s="82" t="str">
        <f t="shared" ref="I490:I507" si="440">IF(F490=0,"",F490+(F490*H490))</f>
        <v/>
      </c>
      <c r="J490" s="34" t="str">
        <f t="shared" ref="J490:J507" si="441">IF(F490=0,"",0)</f>
        <v/>
      </c>
      <c r="K490" s="35" t="str">
        <f t="shared" ref="K490:K507" si="442">IF(F490=0,"",J490*I490)</f>
        <v/>
      </c>
      <c r="L490" s="36" t="str">
        <f t="shared" ref="L490:L507" si="443">IF(F490=0,"",L$14)</f>
        <v/>
      </c>
      <c r="M490" s="37" t="str">
        <f t="shared" ref="M490:M507" si="444">IF(F490=0,"",0)</f>
        <v/>
      </c>
      <c r="N490" s="37" t="str">
        <f t="shared" ref="N490:N507" si="445">IF(F490=0,"",M490*I490)</f>
        <v/>
      </c>
      <c r="O490" s="35" t="str">
        <f t="shared" ref="O490:O507" si="446">IF(F490=0,"",N490*L490)</f>
        <v/>
      </c>
      <c r="P490" s="38" t="str">
        <f t="shared" ref="P490:P507" si="447">IF(F490=0,"",K490+O490)</f>
        <v/>
      </c>
      <c r="Q490" s="39"/>
    </row>
    <row r="491" spans="1:17" s="104" customFormat="1" x14ac:dyDescent="0.25">
      <c r="A491" s="122" t="str">
        <f>IF(TRIM(G491)&lt;&gt;"",COUNTA(G$9:$G491)&amp;"","")</f>
        <v/>
      </c>
      <c r="B491" s="106"/>
      <c r="C491" s="106"/>
      <c r="D491" s="213"/>
      <c r="E491" s="208" t="s">
        <v>751</v>
      </c>
      <c r="F491" s="106"/>
      <c r="G491" s="125"/>
      <c r="H491" s="33"/>
      <c r="I491" s="82"/>
      <c r="J491" s="34"/>
      <c r="K491" s="35"/>
      <c r="L491" s="35"/>
      <c r="M491" s="37"/>
      <c r="N491" s="37"/>
      <c r="O491" s="35"/>
      <c r="P491" s="35"/>
      <c r="Q491" s="214"/>
    </row>
    <row r="492" spans="1:17" x14ac:dyDescent="0.25">
      <c r="A492" s="122" t="str">
        <f>IF(TRIM(G492)&lt;&gt;"",COUNTA(G$9:$G492)&amp;"","")</f>
        <v>415</v>
      </c>
      <c r="B492" s="123" t="s">
        <v>687</v>
      </c>
      <c r="C492" s="123" t="s">
        <v>687</v>
      </c>
      <c r="D492" s="50"/>
      <c r="E492" s="111" t="s">
        <v>688</v>
      </c>
      <c r="F492" s="124">
        <v>31.75</v>
      </c>
      <c r="G492" s="125" t="s">
        <v>228</v>
      </c>
      <c r="H492" s="33">
        <v>0.1</v>
      </c>
      <c r="I492" s="82">
        <f t="shared" si="440"/>
        <v>34.924999999999997</v>
      </c>
      <c r="J492" s="34">
        <v>1.83</v>
      </c>
      <c r="K492" s="35">
        <f t="shared" si="442"/>
        <v>63.912749999999996</v>
      </c>
      <c r="L492" s="36">
        <f t="shared" si="443"/>
        <v>73.03</v>
      </c>
      <c r="M492" s="37">
        <v>8.8999999999999996E-2</v>
      </c>
      <c r="N492" s="37">
        <f t="shared" si="445"/>
        <v>3.1083249999999998</v>
      </c>
      <c r="O492" s="35">
        <f t="shared" si="446"/>
        <v>227.00097474999998</v>
      </c>
      <c r="P492" s="38">
        <f t="shared" si="447"/>
        <v>290.91372474999997</v>
      </c>
      <c r="Q492" s="39"/>
    </row>
    <row r="493" spans="1:17" x14ac:dyDescent="0.25">
      <c r="A493" s="122" t="str">
        <f>IF(TRIM(G493)&lt;&gt;"",COUNTA(G$9:$G493)&amp;"","")</f>
        <v>416</v>
      </c>
      <c r="B493" s="123" t="s">
        <v>687</v>
      </c>
      <c r="C493" s="123" t="s">
        <v>687</v>
      </c>
      <c r="D493" s="50"/>
      <c r="E493" s="111" t="s">
        <v>689</v>
      </c>
      <c r="F493" s="124">
        <f>468*2</f>
        <v>936</v>
      </c>
      <c r="G493" s="125" t="s">
        <v>214</v>
      </c>
      <c r="H493" s="33">
        <v>0.1</v>
      </c>
      <c r="I493" s="82">
        <f>IF(F493=0,"",F493+(F493*H493))</f>
        <v>1029.5999999999999</v>
      </c>
      <c r="J493" s="34">
        <f>0.51*1.1</f>
        <v>0.56100000000000005</v>
      </c>
      <c r="K493" s="35">
        <f t="shared" si="442"/>
        <v>577.60559999999998</v>
      </c>
      <c r="L493" s="36">
        <f t="shared" si="443"/>
        <v>73.03</v>
      </c>
      <c r="M493" s="37">
        <f>0.025*1.1</f>
        <v>2.7500000000000004E-2</v>
      </c>
      <c r="N493" s="37">
        <f>IF(F493=0,"",M493*I493)</f>
        <v>28.314</v>
      </c>
      <c r="O493" s="35">
        <f>IF(F493=0,"",N493*L493)</f>
        <v>2067.77142</v>
      </c>
      <c r="P493" s="38">
        <f>IF(F493=0,"",K493+O493)</f>
        <v>2645.3770199999999</v>
      </c>
      <c r="Q493" s="39"/>
    </row>
    <row r="494" spans="1:17" x14ac:dyDescent="0.25">
      <c r="A494" s="122" t="str">
        <f>IF(TRIM(G494)&lt;&gt;"",COUNTA(G$9:$G494)&amp;"","")</f>
        <v>417</v>
      </c>
      <c r="B494" s="123" t="s">
        <v>687</v>
      </c>
      <c r="C494" s="123" t="s">
        <v>687</v>
      </c>
      <c r="D494" s="50"/>
      <c r="E494" s="111" t="s">
        <v>587</v>
      </c>
      <c r="F494" s="124">
        <v>15.68</v>
      </c>
      <c r="G494" s="125" t="s">
        <v>228</v>
      </c>
      <c r="H494" s="33">
        <v>0.1</v>
      </c>
      <c r="I494" s="82">
        <f t="shared" ref="I494:I496" si="448">IF(F494=0,"",F494+(F494*H494))</f>
        <v>17.248000000000001</v>
      </c>
      <c r="J494" s="34">
        <v>1.83</v>
      </c>
      <c r="K494" s="35">
        <f t="shared" ref="K494:K496" si="449">IF(F494=0,"",J494*I494)</f>
        <v>31.563840000000003</v>
      </c>
      <c r="L494" s="36">
        <f t="shared" ref="L494:L496" si="450">IF(F494=0,"",L$14)</f>
        <v>73.03</v>
      </c>
      <c r="M494" s="37">
        <v>8.8999999999999996E-2</v>
      </c>
      <c r="N494" s="37">
        <f t="shared" ref="N494:N496" si="451">IF(F494=0,"",M494*I494)</f>
        <v>1.535072</v>
      </c>
      <c r="O494" s="35">
        <f t="shared" ref="O494:O496" si="452">IF(F494=0,"",N494*L494)</f>
        <v>112.10630816</v>
      </c>
      <c r="P494" s="38">
        <f t="shared" ref="P494:P496" si="453">IF(F494=0,"",K494+O494)</f>
        <v>143.67014816</v>
      </c>
      <c r="Q494" s="39"/>
    </row>
    <row r="495" spans="1:17" x14ac:dyDescent="0.25">
      <c r="A495" s="122" t="str">
        <f>IF(TRIM(G495)&lt;&gt;"",COUNTA(G$9:$G495)&amp;"","")</f>
        <v>418</v>
      </c>
      <c r="B495" s="123" t="s">
        <v>687</v>
      </c>
      <c r="C495" s="123" t="s">
        <v>687</v>
      </c>
      <c r="D495" s="50"/>
      <c r="E495" s="111" t="s">
        <v>710</v>
      </c>
      <c r="F495" s="124">
        <f>5*67.19*1.023</f>
        <v>343.67684999999994</v>
      </c>
      <c r="G495" s="125" t="s">
        <v>214</v>
      </c>
      <c r="H495" s="33">
        <v>0.1</v>
      </c>
      <c r="I495" s="82">
        <f t="shared" si="448"/>
        <v>378.04453499999994</v>
      </c>
      <c r="J495" s="34">
        <f t="shared" ref="J495:J497" si="454">0.51*1.1</f>
        <v>0.56100000000000005</v>
      </c>
      <c r="K495" s="35">
        <f t="shared" si="449"/>
        <v>212.08298413499998</v>
      </c>
      <c r="L495" s="36">
        <f t="shared" si="450"/>
        <v>73.03</v>
      </c>
      <c r="M495" s="37">
        <f t="shared" ref="M495:M497" si="455">0.025*1.1</f>
        <v>2.7500000000000004E-2</v>
      </c>
      <c r="N495" s="37">
        <f t="shared" si="451"/>
        <v>10.3962247125</v>
      </c>
      <c r="O495" s="35">
        <f t="shared" si="452"/>
        <v>759.2362907538751</v>
      </c>
      <c r="P495" s="38">
        <f t="shared" si="453"/>
        <v>971.31927488887504</v>
      </c>
      <c r="Q495" s="39"/>
    </row>
    <row r="496" spans="1:17" x14ac:dyDescent="0.25">
      <c r="A496" s="122" t="str">
        <f>IF(TRIM(G496)&lt;&gt;"",COUNTA(G$9:$G496)&amp;"","")</f>
        <v>419</v>
      </c>
      <c r="B496" s="123" t="s">
        <v>687</v>
      </c>
      <c r="C496" s="123" t="s">
        <v>687</v>
      </c>
      <c r="D496" s="50"/>
      <c r="E496" s="111" t="s">
        <v>711</v>
      </c>
      <c r="F496" s="124">
        <f>4*1.023*107.12</f>
        <v>438.33503999999999</v>
      </c>
      <c r="G496" s="125" t="s">
        <v>214</v>
      </c>
      <c r="H496" s="33">
        <v>0.1</v>
      </c>
      <c r="I496" s="82">
        <f t="shared" si="448"/>
        <v>482.168544</v>
      </c>
      <c r="J496" s="34">
        <f t="shared" si="454"/>
        <v>0.56100000000000005</v>
      </c>
      <c r="K496" s="35">
        <f t="shared" si="449"/>
        <v>270.49655318400005</v>
      </c>
      <c r="L496" s="36">
        <f t="shared" si="450"/>
        <v>73.03</v>
      </c>
      <c r="M496" s="37">
        <f t="shared" si="455"/>
        <v>2.7500000000000004E-2</v>
      </c>
      <c r="N496" s="37">
        <f t="shared" si="451"/>
        <v>13.259634960000001</v>
      </c>
      <c r="O496" s="35">
        <f t="shared" si="452"/>
        <v>968.35114112880012</v>
      </c>
      <c r="P496" s="38">
        <f t="shared" si="453"/>
        <v>1238.8476943128003</v>
      </c>
      <c r="Q496" s="39"/>
    </row>
    <row r="497" spans="1:18" x14ac:dyDescent="0.25">
      <c r="A497" s="122" t="str">
        <f>IF(TRIM(G497)&lt;&gt;"",COUNTA(G$9:$G497)&amp;"","")</f>
        <v>420</v>
      </c>
      <c r="B497" s="123" t="s">
        <v>687</v>
      </c>
      <c r="C497" s="123" t="s">
        <v>687</v>
      </c>
      <c r="D497" s="50"/>
      <c r="E497" s="111" t="s">
        <v>712</v>
      </c>
      <c r="F497" s="124">
        <f>3*1.023*98.14</f>
        <v>301.19166000000001</v>
      </c>
      <c r="G497" s="125" t="s">
        <v>214</v>
      </c>
      <c r="H497" s="33">
        <v>0.1</v>
      </c>
      <c r="I497" s="82">
        <f t="shared" si="440"/>
        <v>331.31082600000002</v>
      </c>
      <c r="J497" s="34">
        <f t="shared" si="454"/>
        <v>0.56100000000000005</v>
      </c>
      <c r="K497" s="35">
        <f t="shared" si="442"/>
        <v>185.86537338600002</v>
      </c>
      <c r="L497" s="36">
        <f t="shared" si="443"/>
        <v>73.03</v>
      </c>
      <c r="M497" s="37">
        <f t="shared" si="455"/>
        <v>2.7500000000000004E-2</v>
      </c>
      <c r="N497" s="37">
        <f t="shared" si="445"/>
        <v>9.1110477150000015</v>
      </c>
      <c r="O497" s="35">
        <f t="shared" si="446"/>
        <v>665.37981462645007</v>
      </c>
      <c r="P497" s="38">
        <f t="shared" si="447"/>
        <v>851.24518801245006</v>
      </c>
      <c r="Q497" s="39"/>
    </row>
    <row r="498" spans="1:18" s="104" customFormat="1" x14ac:dyDescent="0.25">
      <c r="A498" s="122" t="str">
        <f>IF(TRIM(G498)&lt;&gt;"",COUNTA(G$9:$G498)&amp;"","")</f>
        <v/>
      </c>
      <c r="B498" s="106"/>
      <c r="C498" s="106"/>
      <c r="D498" s="213"/>
      <c r="E498" s="208" t="s">
        <v>690</v>
      </c>
      <c r="F498" s="106"/>
      <c r="G498" s="125"/>
      <c r="H498" s="33"/>
      <c r="I498" s="82"/>
      <c r="J498" s="34"/>
      <c r="K498" s="35"/>
      <c r="L498" s="35"/>
      <c r="M498" s="37"/>
      <c r="N498" s="37"/>
      <c r="O498" s="35"/>
      <c r="P498" s="35"/>
      <c r="Q498" s="214"/>
    </row>
    <row r="499" spans="1:18" x14ac:dyDescent="0.25">
      <c r="A499" s="122" t="str">
        <f>IF(TRIM(G499)&lt;&gt;"",COUNTA(G$9:$G499)&amp;"","")</f>
        <v>421</v>
      </c>
      <c r="B499" s="123" t="s">
        <v>687</v>
      </c>
      <c r="C499" s="123" t="s">
        <v>687</v>
      </c>
      <c r="D499" s="50"/>
      <c r="E499" s="111" t="s">
        <v>691</v>
      </c>
      <c r="F499" s="124">
        <v>672</v>
      </c>
      <c r="G499" s="125" t="s">
        <v>228</v>
      </c>
      <c r="H499" s="33">
        <v>0.1</v>
      </c>
      <c r="I499" s="82">
        <f t="shared" ref="I499:I500" si="456">IF(F499=0,"",F499+(F499*H499))</f>
        <v>739.2</v>
      </c>
      <c r="J499" s="34">
        <v>0.27</v>
      </c>
      <c r="K499" s="35">
        <f t="shared" ref="K499:K500" si="457">IF(F499=0,"",J499*I499)</f>
        <v>199.58400000000003</v>
      </c>
      <c r="L499" s="36">
        <f t="shared" ref="L499:L500" si="458">IF(F499=0,"",L$14)</f>
        <v>73.03</v>
      </c>
      <c r="M499" s="37">
        <v>2.5000000000000001E-2</v>
      </c>
      <c r="N499" s="37">
        <f t="shared" ref="N499:N500" si="459">IF(F499=0,"",M499*I499)</f>
        <v>18.48</v>
      </c>
      <c r="O499" s="35">
        <f t="shared" ref="O499:O500" si="460">IF(F499=0,"",N499*L499)</f>
        <v>1349.5944</v>
      </c>
      <c r="P499" s="38">
        <f t="shared" ref="P499:P500" si="461">IF(F499=0,"",K499+O499)</f>
        <v>1549.1784</v>
      </c>
      <c r="Q499" s="39"/>
    </row>
    <row r="500" spans="1:18" x14ac:dyDescent="0.25">
      <c r="A500" s="122" t="str">
        <f>IF(TRIM(G500)&lt;&gt;"",COUNTA(G$9:$G500)&amp;"","")</f>
        <v>422</v>
      </c>
      <c r="B500" s="123" t="s">
        <v>687</v>
      </c>
      <c r="C500" s="123" t="s">
        <v>687</v>
      </c>
      <c r="D500" s="50"/>
      <c r="E500" s="111" t="s">
        <v>692</v>
      </c>
      <c r="F500" s="124">
        <v>588</v>
      </c>
      <c r="G500" s="125" t="s">
        <v>228</v>
      </c>
      <c r="H500" s="33">
        <v>0.1</v>
      </c>
      <c r="I500" s="82">
        <f t="shared" si="456"/>
        <v>646.79999999999995</v>
      </c>
      <c r="J500" s="34">
        <v>0.27</v>
      </c>
      <c r="K500" s="35">
        <f t="shared" si="457"/>
        <v>174.636</v>
      </c>
      <c r="L500" s="36">
        <f t="shared" si="458"/>
        <v>73.03</v>
      </c>
      <c r="M500" s="37">
        <v>2.5000000000000001E-2</v>
      </c>
      <c r="N500" s="37">
        <f t="shared" si="459"/>
        <v>16.169999999999998</v>
      </c>
      <c r="O500" s="35">
        <f t="shared" si="460"/>
        <v>1180.8951</v>
      </c>
      <c r="P500" s="38">
        <f t="shared" si="461"/>
        <v>1355.5310999999999</v>
      </c>
      <c r="Q500" s="39"/>
    </row>
    <row r="501" spans="1:18" s="104" customFormat="1" x14ac:dyDescent="0.25">
      <c r="A501" s="122" t="str">
        <f>IF(TRIM(G501)&lt;&gt;"",COUNTA(G$9:$G501)&amp;"","")</f>
        <v/>
      </c>
      <c r="B501" s="106"/>
      <c r="C501" s="106"/>
      <c r="D501" s="213"/>
      <c r="E501" s="208" t="s">
        <v>693</v>
      </c>
      <c r="F501" s="106"/>
      <c r="G501" s="125"/>
      <c r="H501" s="33"/>
      <c r="I501" s="82"/>
      <c r="J501" s="34"/>
      <c r="K501" s="35"/>
      <c r="L501" s="35"/>
      <c r="M501" s="37"/>
      <c r="N501" s="37"/>
      <c r="O501" s="35"/>
      <c r="P501" s="35"/>
      <c r="Q501" s="214"/>
    </row>
    <row r="502" spans="1:18" x14ac:dyDescent="0.25">
      <c r="A502" s="122" t="str">
        <f>IF(TRIM(G502)&lt;&gt;"",COUNTA(G$9:$G502)&amp;"","")</f>
        <v>423</v>
      </c>
      <c r="B502" s="123" t="s">
        <v>687</v>
      </c>
      <c r="C502" s="123" t="s">
        <v>687</v>
      </c>
      <c r="D502" s="50"/>
      <c r="E502" s="111" t="s">
        <v>693</v>
      </c>
      <c r="F502" s="124">
        <v>21</v>
      </c>
      <c r="G502" s="125" t="s">
        <v>250</v>
      </c>
      <c r="H502" s="33">
        <v>0</v>
      </c>
      <c r="I502" s="82">
        <f t="shared" ref="I502" si="462">IF(F502=0,"",F502+(F502*H502))</f>
        <v>21</v>
      </c>
      <c r="J502" s="34">
        <v>25.7</v>
      </c>
      <c r="K502" s="35">
        <f t="shared" ref="K502" si="463">IF(F502=0,"",J502*I502)</f>
        <v>539.69999999999993</v>
      </c>
      <c r="L502" s="36">
        <f t="shared" ref="L502" si="464">IF(F502=0,"",L$14)</f>
        <v>73.03</v>
      </c>
      <c r="M502" s="37">
        <v>1.6</v>
      </c>
      <c r="N502" s="37">
        <f t="shared" ref="N502" si="465">IF(F502=0,"",M502*I502)</f>
        <v>33.6</v>
      </c>
      <c r="O502" s="35">
        <f t="shared" ref="O502" si="466">IF(F502=0,"",N502*L502)</f>
        <v>2453.808</v>
      </c>
      <c r="P502" s="38">
        <f t="shared" ref="P502" si="467">IF(F502=0,"",K502+O502)</f>
        <v>2993.5079999999998</v>
      </c>
      <c r="Q502" s="39"/>
    </row>
    <row r="503" spans="1:18" s="104" customFormat="1" x14ac:dyDescent="0.25">
      <c r="A503" s="122" t="str">
        <f>IF(TRIM(G503)&lt;&gt;"",COUNTA(G$9:$G503)&amp;"","")</f>
        <v/>
      </c>
      <c r="B503" s="106"/>
      <c r="C503" s="106"/>
      <c r="D503" s="213"/>
      <c r="E503" s="208" t="s">
        <v>694</v>
      </c>
      <c r="F503" s="106"/>
      <c r="G503" s="125"/>
      <c r="H503" s="33"/>
      <c r="I503" s="82"/>
      <c r="J503" s="34"/>
      <c r="K503" s="35"/>
      <c r="L503" s="35"/>
      <c r="M503" s="37"/>
      <c r="N503" s="37"/>
      <c r="O503" s="35"/>
      <c r="P503" s="35"/>
      <c r="Q503" s="214"/>
    </row>
    <row r="504" spans="1:18" x14ac:dyDescent="0.25">
      <c r="A504" s="122" t="str">
        <f>IF(TRIM(G504)&lt;&gt;"",COUNTA(G$9:$G504)&amp;"","")</f>
        <v>424</v>
      </c>
      <c r="B504" s="123" t="s">
        <v>687</v>
      </c>
      <c r="C504" s="123" t="s">
        <v>687</v>
      </c>
      <c r="D504" s="50"/>
      <c r="E504" s="111" t="s">
        <v>695</v>
      </c>
      <c r="F504" s="124">
        <f>14495.56584+222</f>
        <v>14717.565839999999</v>
      </c>
      <c r="G504" s="125" t="s">
        <v>214</v>
      </c>
      <c r="H504" s="33">
        <v>0.1</v>
      </c>
      <c r="I504" s="82">
        <f t="shared" ref="I504" si="468">IF(F504=0,"",F504+(F504*H504))</f>
        <v>16189.322424</v>
      </c>
      <c r="J504" s="34">
        <f>0.51*1.1</f>
        <v>0.56100000000000005</v>
      </c>
      <c r="K504" s="35">
        <f t="shared" ref="K504" si="469">IF(F504=0,"",J504*I504)</f>
        <v>9082.209879864</v>
      </c>
      <c r="L504" s="36">
        <f t="shared" ref="L504" si="470">IF(F504=0,"",L$14)</f>
        <v>73.03</v>
      </c>
      <c r="M504" s="37">
        <f>0.025*1.1</f>
        <v>2.7500000000000004E-2</v>
      </c>
      <c r="N504" s="37">
        <f t="shared" ref="N504" si="471">IF(F504=0,"",M504*I504)</f>
        <v>445.20636666000007</v>
      </c>
      <c r="O504" s="35">
        <f t="shared" ref="O504" si="472">IF(F504=0,"",N504*L504)</f>
        <v>32513.420957179806</v>
      </c>
      <c r="P504" s="38">
        <f t="shared" ref="P504" si="473">IF(F504=0,"",K504+O504)</f>
        <v>41595.630837043806</v>
      </c>
      <c r="Q504" s="39"/>
      <c r="R504" s="84">
        <f>1.44/0.025</f>
        <v>57.599999999999994</v>
      </c>
    </row>
    <row r="505" spans="1:18" s="104" customFormat="1" x14ac:dyDescent="0.25">
      <c r="A505" s="122" t="str">
        <f>IF(TRIM(G505)&lt;&gt;"",COUNTA(G$9:$G505)&amp;"","")</f>
        <v/>
      </c>
      <c r="B505" s="106"/>
      <c r="C505" s="106"/>
      <c r="D505" s="213"/>
      <c r="E505" s="208" t="s">
        <v>696</v>
      </c>
      <c r="F505" s="106"/>
      <c r="G505" s="125"/>
      <c r="H505" s="33"/>
      <c r="I505" s="82"/>
      <c r="J505" s="34"/>
      <c r="K505" s="35"/>
      <c r="L505" s="35"/>
      <c r="M505" s="37"/>
      <c r="N505" s="37"/>
      <c r="O505" s="35"/>
      <c r="P505" s="35"/>
      <c r="Q505" s="214"/>
    </row>
    <row r="506" spans="1:18" x14ac:dyDescent="0.25">
      <c r="A506" s="122" t="str">
        <f>IF(TRIM(G506)&lt;&gt;"",COUNTA(G$9:$G506)&amp;"","")</f>
        <v>425</v>
      </c>
      <c r="B506" s="123" t="s">
        <v>687</v>
      </c>
      <c r="C506" s="123" t="s">
        <v>687</v>
      </c>
      <c r="D506" s="50"/>
      <c r="E506" s="111" t="s">
        <v>696</v>
      </c>
      <c r="F506" s="124">
        <v>3696</v>
      </c>
      <c r="G506" s="125" t="s">
        <v>214</v>
      </c>
      <c r="H506" s="33">
        <v>0.1</v>
      </c>
      <c r="I506" s="82">
        <f t="shared" ref="I506" si="474">IF(F506=0,"",F506+(F506*H506))</f>
        <v>4065.6</v>
      </c>
      <c r="J506" s="34">
        <f>0.51*1.1</f>
        <v>0.56100000000000005</v>
      </c>
      <c r="K506" s="35">
        <f t="shared" ref="K506" si="475">IF(F506=0,"",J506*I506)</f>
        <v>2280.8016000000002</v>
      </c>
      <c r="L506" s="36">
        <f t="shared" ref="L506" si="476">IF(F506=0,"",L$14)</f>
        <v>73.03</v>
      </c>
      <c r="M506" s="37">
        <f>M504*1.25</f>
        <v>3.4375000000000003E-2</v>
      </c>
      <c r="N506" s="37">
        <f t="shared" ref="N506" si="477">IF(F506=0,"",M506*I506)</f>
        <v>139.755</v>
      </c>
      <c r="O506" s="35">
        <f t="shared" ref="O506" si="478">IF(F506=0,"",N506*L506)</f>
        <v>10206.307650000001</v>
      </c>
      <c r="P506" s="38">
        <f t="shared" ref="P506" si="479">IF(F506=0,"",K506+O506)</f>
        <v>12487.109250000001</v>
      </c>
      <c r="Q506" s="39"/>
    </row>
    <row r="507" spans="1:18" ht="15.75" thickBot="1" x14ac:dyDescent="0.3">
      <c r="A507" s="122" t="str">
        <f>IF(TRIM(G507)&lt;&gt;"",COUNTA(G$9:$G507)&amp;"","")</f>
        <v/>
      </c>
      <c r="B507" s="123"/>
      <c r="C507" s="123"/>
      <c r="D507" s="52"/>
      <c r="E507" s="111"/>
      <c r="F507" s="124"/>
      <c r="G507" s="125"/>
      <c r="H507" s="33" t="str">
        <f t="shared" ref="H507" si="480">IF(F507=0,"",0)</f>
        <v/>
      </c>
      <c r="I507" s="82" t="str">
        <f t="shared" si="440"/>
        <v/>
      </c>
      <c r="J507" s="34" t="str">
        <f t="shared" si="441"/>
        <v/>
      </c>
      <c r="K507" s="35" t="str">
        <f t="shared" si="442"/>
        <v/>
      </c>
      <c r="L507" s="36" t="str">
        <f t="shared" si="443"/>
        <v/>
      </c>
      <c r="M507" s="37" t="str">
        <f t="shared" si="444"/>
        <v/>
      </c>
      <c r="N507" s="37" t="str">
        <f t="shared" si="445"/>
        <v/>
      </c>
      <c r="O507" s="35" t="str">
        <f t="shared" si="446"/>
        <v/>
      </c>
      <c r="P507" s="38" t="str">
        <f t="shared" si="447"/>
        <v/>
      </c>
      <c r="Q507" s="39"/>
    </row>
    <row r="508" spans="1:18" s="3" customFormat="1" ht="16.5" thickBot="1" x14ac:dyDescent="0.3">
      <c r="A508" s="122" t="str">
        <f>IF(TRIM(G508)&lt;&gt;"",COUNTA(G$9:$G508)&amp;"","")</f>
        <v/>
      </c>
      <c r="B508" s="1"/>
      <c r="C508" s="1"/>
      <c r="D508" s="30"/>
      <c r="E508" s="29"/>
      <c r="F508" s="80"/>
      <c r="G508" s="81"/>
      <c r="H508" s="151" t="s">
        <v>12</v>
      </c>
      <c r="I508" s="152"/>
      <c r="J508" s="68">
        <f>SUM(K$259:K$507)</f>
        <v>120391.79785079788</v>
      </c>
      <c r="K508" s="390" t="s">
        <v>13</v>
      </c>
      <c r="L508" s="391"/>
      <c r="M508" s="69">
        <f>SUM(O$259:O$507)</f>
        <v>161605.36545705382</v>
      </c>
      <c r="N508" s="390" t="s">
        <v>43</v>
      </c>
      <c r="O508" s="391"/>
      <c r="P508" s="70">
        <f>SUM(N$259:N$507)</f>
        <v>2212.8627339046116</v>
      </c>
      <c r="Q508" s="71">
        <f>SUM(P$259:P$507)</f>
        <v>281997.16330785153</v>
      </c>
    </row>
    <row r="509" spans="1:18" ht="20.100000000000001" customHeight="1" x14ac:dyDescent="0.25">
      <c r="A509" s="153" t="str">
        <f>IF(TRIM(G509)&lt;&gt;"",COUNTA(G$9:$G509)&amp;"","")</f>
        <v/>
      </c>
      <c r="B509" s="31"/>
      <c r="C509" s="162" t="s">
        <v>192</v>
      </c>
      <c r="D509" s="154" t="s">
        <v>61</v>
      </c>
      <c r="E509" s="154" t="s">
        <v>62</v>
      </c>
      <c r="F509" s="78"/>
      <c r="G509" s="79"/>
      <c r="H509" s="31"/>
      <c r="I509" s="79"/>
      <c r="J509" s="31"/>
      <c r="K509" s="31"/>
      <c r="L509" s="31"/>
      <c r="M509" s="31"/>
      <c r="N509" s="31"/>
      <c r="O509" s="31"/>
      <c r="P509" s="31"/>
      <c r="Q509" s="155"/>
    </row>
    <row r="510" spans="1:18" s="28" customFormat="1" ht="19.149999999999999" customHeight="1" x14ac:dyDescent="0.25">
      <c r="A510" s="122" t="str">
        <f>IF(TRIM(G510)&lt;&gt;"",COUNTA(G$9:$G510)&amp;"","")</f>
        <v/>
      </c>
      <c r="B510" s="49"/>
      <c r="C510" s="49"/>
      <c r="D510" s="50" t="s">
        <v>120</v>
      </c>
      <c r="E510" s="156" t="s">
        <v>119</v>
      </c>
      <c r="F510" s="124"/>
      <c r="G510" s="125"/>
      <c r="H510" s="33" t="str">
        <f t="shared" ref="H510:H524" si="481">IF(F510=0,"",0)</f>
        <v/>
      </c>
      <c r="I510" s="82" t="str">
        <f t="shared" ref="I510:I524" si="482">IF(F510=0,"",F510+(F510*H510))</f>
        <v/>
      </c>
      <c r="J510" s="34" t="str">
        <f t="shared" ref="J510:J524" si="483">IF(F510=0,"",0)</f>
        <v/>
      </c>
      <c r="K510" s="35" t="str">
        <f t="shared" ref="K510:K524" si="484">IF(F510=0,"",J510*I510)</f>
        <v/>
      </c>
      <c r="L510" s="36" t="str">
        <f t="shared" ref="L510:L524" si="485">IF(F510=0,"",L$14)</f>
        <v/>
      </c>
      <c r="M510" s="37" t="str">
        <f t="shared" ref="M510:M524" si="486">IF(F510=0,"",0)</f>
        <v/>
      </c>
      <c r="N510" s="37" t="str">
        <f t="shared" ref="N510:N524" si="487">IF(F510=0,"",M510*I510)</f>
        <v/>
      </c>
      <c r="O510" s="35" t="str">
        <f t="shared" ref="O510:O524" si="488">IF(F510=0,"",N510*L510)</f>
        <v/>
      </c>
      <c r="P510" s="38" t="str">
        <f t="shared" ref="P510:P524" si="489">IF(F510=0,"",K510+O510)</f>
        <v/>
      </c>
      <c r="Q510" s="39"/>
    </row>
    <row r="511" spans="1:18" ht="60" x14ac:dyDescent="0.25">
      <c r="A511" s="122" t="str">
        <f>IF(TRIM(G511)&lt;&gt;"",COUNTA(G$9:$G511)&amp;"","")</f>
        <v>426</v>
      </c>
      <c r="B511" s="123" t="s">
        <v>525</v>
      </c>
      <c r="C511" s="123" t="s">
        <v>526</v>
      </c>
      <c r="D511" s="50"/>
      <c r="E511" s="206" t="s">
        <v>527</v>
      </c>
      <c r="F511" s="106">
        <v>4</v>
      </c>
      <c r="G511" s="200" t="s">
        <v>250</v>
      </c>
      <c r="H511" s="33">
        <f t="shared" si="481"/>
        <v>0</v>
      </c>
      <c r="I511" s="82">
        <f t="shared" si="482"/>
        <v>4</v>
      </c>
      <c r="J511" s="34">
        <v>44.59</v>
      </c>
      <c r="K511" s="35">
        <f t="shared" si="484"/>
        <v>178.36</v>
      </c>
      <c r="L511" s="36">
        <f t="shared" si="485"/>
        <v>73.03</v>
      </c>
      <c r="M511" s="37">
        <v>0.4</v>
      </c>
      <c r="N511" s="37">
        <f t="shared" si="487"/>
        <v>1.6</v>
      </c>
      <c r="O511" s="35">
        <f t="shared" si="488"/>
        <v>116.84800000000001</v>
      </c>
      <c r="P511" s="38">
        <f t="shared" si="489"/>
        <v>295.20800000000003</v>
      </c>
      <c r="Q511" s="39"/>
    </row>
    <row r="512" spans="1:18" ht="60" x14ac:dyDescent="0.25">
      <c r="A512" s="122" t="str">
        <f>IF(TRIM(G512)&lt;&gt;"",COUNTA(G$9:$G512)&amp;"","")</f>
        <v>427</v>
      </c>
      <c r="B512" s="123" t="s">
        <v>525</v>
      </c>
      <c r="C512" s="123" t="s">
        <v>526</v>
      </c>
      <c r="D512" s="50"/>
      <c r="E512" s="206" t="s">
        <v>528</v>
      </c>
      <c r="F512" s="106">
        <v>4</v>
      </c>
      <c r="G512" s="200" t="s">
        <v>250</v>
      </c>
      <c r="H512" s="33">
        <f t="shared" si="481"/>
        <v>0</v>
      </c>
      <c r="I512" s="82">
        <f t="shared" si="482"/>
        <v>4</v>
      </c>
      <c r="J512" s="34">
        <v>45.09</v>
      </c>
      <c r="K512" s="35">
        <f t="shared" si="484"/>
        <v>180.36</v>
      </c>
      <c r="L512" s="36">
        <f t="shared" si="485"/>
        <v>73.03</v>
      </c>
      <c r="M512" s="37">
        <v>0.4</v>
      </c>
      <c r="N512" s="37">
        <f t="shared" si="487"/>
        <v>1.6</v>
      </c>
      <c r="O512" s="35">
        <f t="shared" si="488"/>
        <v>116.84800000000001</v>
      </c>
      <c r="P512" s="38">
        <f t="shared" si="489"/>
        <v>297.20800000000003</v>
      </c>
      <c r="Q512" s="39"/>
    </row>
    <row r="513" spans="1:17" x14ac:dyDescent="0.25">
      <c r="A513" s="122" t="str">
        <f>IF(TRIM(G513)&lt;&gt;"",COUNTA(G$9:$G513)&amp;"","")</f>
        <v>428</v>
      </c>
      <c r="B513" s="123" t="s">
        <v>525</v>
      </c>
      <c r="C513" s="123" t="s">
        <v>526</v>
      </c>
      <c r="D513" s="50"/>
      <c r="E513" s="205" t="s">
        <v>529</v>
      </c>
      <c r="F513" s="106">
        <v>1</v>
      </c>
      <c r="G513" s="200" t="s">
        <v>250</v>
      </c>
      <c r="H513" s="33">
        <f t="shared" si="481"/>
        <v>0</v>
      </c>
      <c r="I513" s="82">
        <f t="shared" si="482"/>
        <v>1</v>
      </c>
      <c r="J513" s="34">
        <v>108</v>
      </c>
      <c r="K513" s="35">
        <f t="shared" si="484"/>
        <v>108</v>
      </c>
      <c r="L513" s="36">
        <f t="shared" si="485"/>
        <v>73.03</v>
      </c>
      <c r="M513" s="37">
        <v>0.33300000000000002</v>
      </c>
      <c r="N513" s="37">
        <f t="shared" si="487"/>
        <v>0.33300000000000002</v>
      </c>
      <c r="O513" s="35">
        <f t="shared" si="488"/>
        <v>24.318990000000003</v>
      </c>
      <c r="P513" s="38">
        <f t="shared" si="489"/>
        <v>132.31899000000001</v>
      </c>
      <c r="Q513" s="39"/>
    </row>
    <row r="514" spans="1:17" x14ac:dyDescent="0.25">
      <c r="A514" s="122" t="str">
        <f>IF(TRIM(G514)&lt;&gt;"",COUNTA(G$9:$G514)&amp;"","")</f>
        <v>429</v>
      </c>
      <c r="B514" s="123" t="s">
        <v>525</v>
      </c>
      <c r="C514" s="123" t="s">
        <v>526</v>
      </c>
      <c r="D514" s="50"/>
      <c r="E514" s="205" t="s">
        <v>530</v>
      </c>
      <c r="F514" s="106">
        <v>1</v>
      </c>
      <c r="G514" s="200" t="s">
        <v>250</v>
      </c>
      <c r="H514" s="33">
        <f t="shared" si="481"/>
        <v>0</v>
      </c>
      <c r="I514" s="82">
        <f t="shared" si="482"/>
        <v>1</v>
      </c>
      <c r="J514" s="34">
        <v>100</v>
      </c>
      <c r="K514" s="35">
        <f t="shared" si="484"/>
        <v>100</v>
      </c>
      <c r="L514" s="36">
        <f t="shared" si="485"/>
        <v>73.03</v>
      </c>
      <c r="M514" s="37">
        <v>0.8</v>
      </c>
      <c r="N514" s="37">
        <f t="shared" si="487"/>
        <v>0.8</v>
      </c>
      <c r="O514" s="35">
        <f t="shared" si="488"/>
        <v>58.424000000000007</v>
      </c>
      <c r="P514" s="38">
        <f t="shared" si="489"/>
        <v>158.42400000000001</v>
      </c>
      <c r="Q514" s="39"/>
    </row>
    <row r="515" spans="1:17" x14ac:dyDescent="0.25">
      <c r="A515" s="122" t="str">
        <f>IF(TRIM(G515)&lt;&gt;"",COUNTA(G$9:$G515)&amp;"","")</f>
        <v>430</v>
      </c>
      <c r="B515" s="123" t="s">
        <v>525</v>
      </c>
      <c r="C515" s="123" t="s">
        <v>526</v>
      </c>
      <c r="D515" s="50"/>
      <c r="E515" s="205" t="s">
        <v>531</v>
      </c>
      <c r="F515" s="106">
        <v>2</v>
      </c>
      <c r="G515" s="200" t="s">
        <v>250</v>
      </c>
      <c r="H515" s="33">
        <f t="shared" si="481"/>
        <v>0</v>
      </c>
      <c r="I515" s="82">
        <f t="shared" si="482"/>
        <v>2</v>
      </c>
      <c r="J515" s="34">
        <v>97.19</v>
      </c>
      <c r="K515" s="35">
        <f t="shared" si="484"/>
        <v>194.38</v>
      </c>
      <c r="L515" s="36">
        <f t="shared" si="485"/>
        <v>73.03</v>
      </c>
      <c r="M515" s="37">
        <v>0.53300000000000003</v>
      </c>
      <c r="N515" s="37">
        <f t="shared" si="487"/>
        <v>1.0660000000000001</v>
      </c>
      <c r="O515" s="35">
        <f t="shared" si="488"/>
        <v>77.849980000000002</v>
      </c>
      <c r="P515" s="38">
        <f t="shared" si="489"/>
        <v>272.22998000000001</v>
      </c>
      <c r="Q515" s="39"/>
    </row>
    <row r="516" spans="1:17" x14ac:dyDescent="0.25">
      <c r="A516" s="122" t="str">
        <f>IF(TRIM(G516)&lt;&gt;"",COUNTA(G$9:$G516)&amp;"","")</f>
        <v>431</v>
      </c>
      <c r="B516" s="123" t="s">
        <v>525</v>
      </c>
      <c r="C516" s="123" t="s">
        <v>526</v>
      </c>
      <c r="D516" s="50"/>
      <c r="E516" s="205" t="s">
        <v>532</v>
      </c>
      <c r="F516" s="106">
        <v>2</v>
      </c>
      <c r="G516" s="200" t="s">
        <v>250</v>
      </c>
      <c r="H516" s="33">
        <f t="shared" si="481"/>
        <v>0</v>
      </c>
      <c r="I516" s="82">
        <f t="shared" si="482"/>
        <v>2</v>
      </c>
      <c r="J516" s="34">
        <v>140.28</v>
      </c>
      <c r="K516" s="35">
        <f t="shared" si="484"/>
        <v>280.56</v>
      </c>
      <c r="L516" s="36">
        <f t="shared" si="485"/>
        <v>73.03</v>
      </c>
      <c r="M516" s="37">
        <v>0.8</v>
      </c>
      <c r="N516" s="37">
        <f t="shared" si="487"/>
        <v>1.6</v>
      </c>
      <c r="O516" s="35">
        <f t="shared" si="488"/>
        <v>116.84800000000001</v>
      </c>
      <c r="P516" s="38">
        <f t="shared" si="489"/>
        <v>397.40800000000002</v>
      </c>
      <c r="Q516" s="39"/>
    </row>
    <row r="517" spans="1:17" ht="30" x14ac:dyDescent="0.25">
      <c r="A517" s="122" t="str">
        <f>IF(TRIM(G517)&lt;&gt;"",COUNTA(G$9:$G517)&amp;"","")</f>
        <v>432</v>
      </c>
      <c r="B517" s="123" t="s">
        <v>525</v>
      </c>
      <c r="C517" s="123" t="s">
        <v>526</v>
      </c>
      <c r="D517" s="50"/>
      <c r="E517" s="206" t="s">
        <v>713</v>
      </c>
      <c r="F517" s="106">
        <v>1</v>
      </c>
      <c r="G517" s="200" t="s">
        <v>250</v>
      </c>
      <c r="H517" s="33">
        <f t="shared" si="481"/>
        <v>0</v>
      </c>
      <c r="I517" s="82">
        <f t="shared" si="482"/>
        <v>1</v>
      </c>
      <c r="J517" s="34">
        <v>465</v>
      </c>
      <c r="K517" s="35">
        <f t="shared" si="484"/>
        <v>465</v>
      </c>
      <c r="L517" s="36">
        <f t="shared" si="485"/>
        <v>73.03</v>
      </c>
      <c r="M517" s="37">
        <v>0.8</v>
      </c>
      <c r="N517" s="37">
        <f t="shared" si="487"/>
        <v>0.8</v>
      </c>
      <c r="O517" s="35">
        <f t="shared" si="488"/>
        <v>58.424000000000007</v>
      </c>
      <c r="P517" s="38">
        <f t="shared" si="489"/>
        <v>523.42399999999998</v>
      </c>
      <c r="Q517" s="39"/>
    </row>
    <row r="518" spans="1:17" ht="60" x14ac:dyDescent="0.25">
      <c r="A518" s="122" t="str">
        <f>IF(TRIM(G518)&lt;&gt;"",COUNTA(G$9:$G518)&amp;"","")</f>
        <v>433</v>
      </c>
      <c r="B518" s="123" t="s">
        <v>525</v>
      </c>
      <c r="C518" s="123" t="s">
        <v>526</v>
      </c>
      <c r="D518" s="50"/>
      <c r="E518" s="206" t="s">
        <v>584</v>
      </c>
      <c r="F518" s="106">
        <v>4</v>
      </c>
      <c r="G518" s="200" t="s">
        <v>250</v>
      </c>
      <c r="H518" s="33">
        <f t="shared" si="481"/>
        <v>0</v>
      </c>
      <c r="I518" s="82">
        <f t="shared" si="482"/>
        <v>4</v>
      </c>
      <c r="J518" s="34">
        <v>229</v>
      </c>
      <c r="K518" s="35">
        <f t="shared" si="484"/>
        <v>916</v>
      </c>
      <c r="L518" s="36">
        <f t="shared" si="485"/>
        <v>73.03</v>
      </c>
      <c r="M518" s="37">
        <v>1.2310000000000001</v>
      </c>
      <c r="N518" s="37">
        <f t="shared" si="487"/>
        <v>4.9240000000000004</v>
      </c>
      <c r="O518" s="35">
        <f t="shared" si="488"/>
        <v>359.59972000000005</v>
      </c>
      <c r="P518" s="38">
        <f t="shared" si="489"/>
        <v>1275.5997200000002</v>
      </c>
      <c r="Q518" s="39"/>
    </row>
    <row r="519" spans="1:17" ht="45" x14ac:dyDescent="0.25">
      <c r="A519" s="122" t="str">
        <f>IF(TRIM(G519)&lt;&gt;"",COUNTA(G$9:$G519)&amp;"","")</f>
        <v>434</v>
      </c>
      <c r="B519" s="123" t="s">
        <v>525</v>
      </c>
      <c r="C519" s="123" t="s">
        <v>526</v>
      </c>
      <c r="D519" s="50"/>
      <c r="E519" s="206" t="s">
        <v>714</v>
      </c>
      <c r="F519" s="106">
        <v>4</v>
      </c>
      <c r="G519" s="200" t="s">
        <v>250</v>
      </c>
      <c r="H519" s="33">
        <f t="shared" si="481"/>
        <v>0</v>
      </c>
      <c r="I519" s="82">
        <f t="shared" si="482"/>
        <v>4</v>
      </c>
      <c r="J519" s="34">
        <v>58.62</v>
      </c>
      <c r="K519" s="35">
        <f t="shared" si="484"/>
        <v>234.48</v>
      </c>
      <c r="L519" s="36">
        <f t="shared" si="485"/>
        <v>73.03</v>
      </c>
      <c r="M519" s="37">
        <v>0.4</v>
      </c>
      <c r="N519" s="37">
        <f t="shared" si="487"/>
        <v>1.6</v>
      </c>
      <c r="O519" s="35">
        <f t="shared" si="488"/>
        <v>116.84800000000001</v>
      </c>
      <c r="P519" s="38">
        <f t="shared" si="489"/>
        <v>351.32799999999997</v>
      </c>
      <c r="Q519" s="39"/>
    </row>
    <row r="520" spans="1:17" s="28" customFormat="1" ht="19.149999999999999" customHeight="1" x14ac:dyDescent="0.25">
      <c r="A520" s="122" t="str">
        <f>IF(TRIM(G520)&lt;&gt;"",COUNTA(G$9:$G520)&amp;"","")</f>
        <v/>
      </c>
      <c r="B520" s="49"/>
      <c r="C520" s="49"/>
      <c r="D520" s="50"/>
      <c r="E520" s="201" t="s">
        <v>748</v>
      </c>
      <c r="F520" s="124"/>
      <c r="G520" s="200"/>
      <c r="H520" s="33" t="str">
        <f t="shared" ref="H520" si="490">IF(F520=0,"",0)</f>
        <v/>
      </c>
      <c r="I520" s="82" t="str">
        <f t="shared" ref="I520" si="491">IF(F520=0,"",F520+(F520*H520))</f>
        <v/>
      </c>
      <c r="J520" s="34" t="str">
        <f t="shared" ref="J520" si="492">IF(F520=0,"",0)</f>
        <v/>
      </c>
      <c r="K520" s="35" t="str">
        <f t="shared" ref="K520" si="493">IF(F520=0,"",J520*I520)</f>
        <v/>
      </c>
      <c r="L520" s="36" t="str">
        <f t="shared" ref="L520" si="494">IF(F520=0,"",L$14)</f>
        <v/>
      </c>
      <c r="M520" s="37" t="str">
        <f t="shared" ref="M520" si="495">IF(F520=0,"",0)</f>
        <v/>
      </c>
      <c r="N520" s="37" t="str">
        <f t="shared" ref="N520" si="496">IF(F520=0,"",M520*I520)</f>
        <v/>
      </c>
      <c r="O520" s="35" t="str">
        <f t="shared" ref="O520" si="497">IF(F520=0,"",N520*L520)</f>
        <v/>
      </c>
      <c r="P520" s="38" t="str">
        <f t="shared" ref="P520" si="498">IF(F520=0,"",K520+O520)</f>
        <v/>
      </c>
      <c r="Q520" s="39"/>
    </row>
    <row r="521" spans="1:17" ht="45" x14ac:dyDescent="0.25">
      <c r="A521" s="122" t="str">
        <f>IF(TRIM(G521)&lt;&gt;"",COUNTA(G$9:$G521)&amp;"","")</f>
        <v>435</v>
      </c>
      <c r="B521" s="123" t="s">
        <v>697</v>
      </c>
      <c r="C521" s="123" t="s">
        <v>697</v>
      </c>
      <c r="D521" s="50"/>
      <c r="E521" s="199" t="s">
        <v>749</v>
      </c>
      <c r="F521" s="124">
        <v>10</v>
      </c>
      <c r="G521" s="200" t="s">
        <v>250</v>
      </c>
      <c r="H521" s="33">
        <f>IF(F521=0,"",0)</f>
        <v>0</v>
      </c>
      <c r="I521" s="82">
        <f>IF(F521=0,"",F521+(F521*H521))</f>
        <v>10</v>
      </c>
      <c r="J521" s="34">
        <f>IF(F521=0,"",0)</f>
        <v>0</v>
      </c>
      <c r="K521" s="35">
        <f>IF(F521=0,"",J521*I521)</f>
        <v>0</v>
      </c>
      <c r="L521" s="36">
        <f>IF(F521=0,"",L$14)</f>
        <v>73.03</v>
      </c>
      <c r="M521" s="37">
        <f>IF(F521=0,"",0)</f>
        <v>0</v>
      </c>
      <c r="N521" s="37">
        <f>IF(F521=0,"",M521*I521)</f>
        <v>0</v>
      </c>
      <c r="O521" s="35">
        <f>IF(F521=0,"",N521*L521)</f>
        <v>0</v>
      </c>
      <c r="P521" s="38">
        <f>IF(F521=0,"",K521+O521)</f>
        <v>0</v>
      </c>
      <c r="Q521" s="39"/>
    </row>
    <row r="522" spans="1:17" s="28" customFormat="1" ht="19.149999999999999" customHeight="1" x14ac:dyDescent="0.25">
      <c r="A522" s="122" t="str">
        <f>IF(TRIM(G522)&lt;&gt;"",COUNTA(G$9:$G522)&amp;"","")</f>
        <v/>
      </c>
      <c r="B522" s="49"/>
      <c r="C522" s="49"/>
      <c r="D522" s="50" t="s">
        <v>533</v>
      </c>
      <c r="E522" s="201" t="s">
        <v>121</v>
      </c>
      <c r="F522" s="124"/>
      <c r="G522" s="200"/>
      <c r="H522" s="33" t="str">
        <f t="shared" si="481"/>
        <v/>
      </c>
      <c r="I522" s="82" t="str">
        <f t="shared" si="482"/>
        <v/>
      </c>
      <c r="J522" s="34" t="str">
        <f t="shared" si="483"/>
        <v/>
      </c>
      <c r="K522" s="35" t="str">
        <f t="shared" si="484"/>
        <v/>
      </c>
      <c r="L522" s="36" t="str">
        <f t="shared" si="485"/>
        <v/>
      </c>
      <c r="M522" s="37" t="str">
        <f t="shared" si="486"/>
        <v/>
      </c>
      <c r="N522" s="37" t="str">
        <f t="shared" si="487"/>
        <v/>
      </c>
      <c r="O522" s="35" t="str">
        <f t="shared" si="488"/>
        <v/>
      </c>
      <c r="P522" s="38" t="str">
        <f t="shared" si="489"/>
        <v/>
      </c>
      <c r="Q522" s="39"/>
    </row>
    <row r="523" spans="1:17" ht="60" x14ac:dyDescent="0.25">
      <c r="A523" s="122" t="str">
        <f>IF(TRIM(G523)&lt;&gt;"",COUNTA(G$9:$G523)&amp;"","")</f>
        <v>436</v>
      </c>
      <c r="B523" s="123" t="s">
        <v>525</v>
      </c>
      <c r="C523" s="123" t="s">
        <v>526</v>
      </c>
      <c r="D523" s="50"/>
      <c r="E523" s="199" t="s">
        <v>534</v>
      </c>
      <c r="F523" s="124">
        <v>1</v>
      </c>
      <c r="G523" s="200" t="s">
        <v>250</v>
      </c>
      <c r="H523" s="33">
        <f>IF(F523=0,"",0)</f>
        <v>0</v>
      </c>
      <c r="I523" s="82">
        <f>IF(F523=0,"",F523+(F523*H523))</f>
        <v>1</v>
      </c>
      <c r="J523" s="34">
        <v>380.76</v>
      </c>
      <c r="K523" s="35">
        <f>IF(F523=0,"",J523*I523)</f>
        <v>380.76</v>
      </c>
      <c r="L523" s="36">
        <f>IF(F523=0,"",L$14)</f>
        <v>73.03</v>
      </c>
      <c r="M523" s="37">
        <v>0.8</v>
      </c>
      <c r="N523" s="37">
        <f>IF(F523=0,"",M523*I523)</f>
        <v>0.8</v>
      </c>
      <c r="O523" s="35">
        <f>IF(F523=0,"",N523*L523)</f>
        <v>58.424000000000007</v>
      </c>
      <c r="P523" s="38">
        <f>IF(F523=0,"",K523+O523)</f>
        <v>439.18399999999997</v>
      </c>
      <c r="Q523" s="39"/>
    </row>
    <row r="524" spans="1:17" s="28" customFormat="1" ht="19.149999999999999" customHeight="1" x14ac:dyDescent="0.25">
      <c r="A524" s="122" t="str">
        <f>IF(TRIM(G524)&lt;&gt;"",COUNTA(G$9:$G524)&amp;"","")</f>
        <v/>
      </c>
      <c r="B524" s="49"/>
      <c r="C524" s="49"/>
      <c r="D524" s="50" t="s">
        <v>123</v>
      </c>
      <c r="E524" s="156" t="s">
        <v>122</v>
      </c>
      <c r="F524" s="124"/>
      <c r="G524" s="125"/>
      <c r="H524" s="33" t="str">
        <f t="shared" si="481"/>
        <v/>
      </c>
      <c r="I524" s="82" t="str">
        <f t="shared" si="482"/>
        <v/>
      </c>
      <c r="J524" s="34" t="str">
        <f t="shared" si="483"/>
        <v/>
      </c>
      <c r="K524" s="35" t="str">
        <f t="shared" si="484"/>
        <v/>
      </c>
      <c r="L524" s="36" t="str">
        <f t="shared" si="485"/>
        <v/>
      </c>
      <c r="M524" s="37" t="str">
        <f t="shared" si="486"/>
        <v/>
      </c>
      <c r="N524" s="37" t="str">
        <f t="shared" si="487"/>
        <v/>
      </c>
      <c r="O524" s="35" t="str">
        <f t="shared" si="488"/>
        <v/>
      </c>
      <c r="P524" s="38" t="str">
        <f t="shared" si="489"/>
        <v/>
      </c>
      <c r="Q524" s="39"/>
    </row>
    <row r="525" spans="1:17" x14ac:dyDescent="0.25">
      <c r="A525" s="122" t="str">
        <f>IF(TRIM(G525)&lt;&gt;"",COUNTA(G$9:$G525)&amp;"","")</f>
        <v>437</v>
      </c>
      <c r="B525" s="123" t="s">
        <v>536</v>
      </c>
      <c r="C525" s="123" t="s">
        <v>536</v>
      </c>
      <c r="D525" s="50"/>
      <c r="E525" s="205" t="s">
        <v>539</v>
      </c>
      <c r="F525" s="106">
        <v>100</v>
      </c>
      <c r="G525" s="200" t="s">
        <v>228</v>
      </c>
      <c r="H525" s="33">
        <v>0.1</v>
      </c>
      <c r="I525" s="82">
        <f>IF(F525=0,"",F525+(F525*H525))</f>
        <v>110</v>
      </c>
      <c r="J525" s="34">
        <f>25.5*2</f>
        <v>51</v>
      </c>
      <c r="K525" s="35">
        <f>IF(F525=0,"",J525*I525)</f>
        <v>5610</v>
      </c>
      <c r="L525" s="36">
        <f>IF(F525=0,"",L$14)</f>
        <v>73.03</v>
      </c>
      <c r="M525" s="37">
        <f>0.114*2</f>
        <v>0.22800000000000001</v>
      </c>
      <c r="N525" s="37">
        <f>IF(F525=0,"",M525*I525)</f>
        <v>25.080000000000002</v>
      </c>
      <c r="O525" s="35">
        <f>IF(F525=0,"",N525*L525)</f>
        <v>1831.5924000000002</v>
      </c>
      <c r="P525" s="38">
        <f>IF(F525=0,"",K525+O525)</f>
        <v>7441.5924000000005</v>
      </c>
      <c r="Q525" s="39"/>
    </row>
    <row r="526" spans="1:17" x14ac:dyDescent="0.25">
      <c r="A526" s="122" t="str">
        <f>IF(TRIM(G526)&lt;&gt;"",COUNTA(G$9:$G526)&amp;"","")</f>
        <v>438</v>
      </c>
      <c r="B526" s="123" t="s">
        <v>536</v>
      </c>
      <c r="C526" s="123" t="s">
        <v>536</v>
      </c>
      <c r="D526" s="50"/>
      <c r="E526" s="205" t="s">
        <v>540</v>
      </c>
      <c r="F526" s="106">
        <v>7</v>
      </c>
      <c r="G526" s="200" t="s">
        <v>228</v>
      </c>
      <c r="H526" s="33">
        <v>0.1</v>
      </c>
      <c r="I526" s="82">
        <f>IF(F526=0,"",F526+(F526*H526))</f>
        <v>7.7</v>
      </c>
      <c r="J526" s="34">
        <f>25.5*3</f>
        <v>76.5</v>
      </c>
      <c r="K526" s="35">
        <f>IF(F526=0,"",J526*I526)</f>
        <v>589.05000000000007</v>
      </c>
      <c r="L526" s="36">
        <f>IF(F526=0,"",L$14)</f>
        <v>73.03</v>
      </c>
      <c r="M526" s="37">
        <f>0.114*3</f>
        <v>0.34200000000000003</v>
      </c>
      <c r="N526" s="37">
        <f>IF(F526=0,"",M526*I526)</f>
        <v>2.6334000000000004</v>
      </c>
      <c r="O526" s="35">
        <f>IF(F526=0,"",N526*L526)</f>
        <v>192.31720200000004</v>
      </c>
      <c r="P526" s="38">
        <f>IF(F526=0,"",K526+O526)</f>
        <v>781.36720200000013</v>
      </c>
      <c r="Q526" s="39"/>
    </row>
    <row r="527" spans="1:17" x14ac:dyDescent="0.25">
      <c r="A527" s="122" t="str">
        <f>IF(TRIM(G527)&lt;&gt;"",COUNTA(G$9:$G527)&amp;"","")</f>
        <v>439</v>
      </c>
      <c r="B527" s="123" t="s">
        <v>536</v>
      </c>
      <c r="C527" s="123" t="s">
        <v>536</v>
      </c>
      <c r="D527" s="50"/>
      <c r="E527" s="205" t="s">
        <v>541</v>
      </c>
      <c r="F527" s="106">
        <v>14</v>
      </c>
      <c r="G527" s="200" t="s">
        <v>228</v>
      </c>
      <c r="H527" s="33">
        <v>0.1</v>
      </c>
      <c r="I527" s="82">
        <f>IF(F527=0,"",F527+(F527*H527))</f>
        <v>15.4</v>
      </c>
      <c r="J527" s="34">
        <f t="shared" ref="J527" si="499">25.5*2</f>
        <v>51</v>
      </c>
      <c r="K527" s="35">
        <f>IF(F527=0,"",J527*I527)</f>
        <v>785.4</v>
      </c>
      <c r="L527" s="36">
        <f>IF(F527=0,"",L$14)</f>
        <v>73.03</v>
      </c>
      <c r="M527" s="37">
        <f t="shared" ref="M527" si="500">0.114*2</f>
        <v>0.22800000000000001</v>
      </c>
      <c r="N527" s="37">
        <f>IF(F527=0,"",M527*I527)</f>
        <v>3.5112000000000001</v>
      </c>
      <c r="O527" s="35">
        <f>IF(F527=0,"",N527*L527)</f>
        <v>256.42293599999999</v>
      </c>
      <c r="P527" s="38">
        <f>IF(F527=0,"",K527+O527)</f>
        <v>1041.822936</v>
      </c>
      <c r="Q527" s="39"/>
    </row>
    <row r="528" spans="1:17" ht="15.75" thickBot="1" x14ac:dyDescent="0.3">
      <c r="A528" s="122" t="str">
        <f>IF(TRIM(G528)&lt;&gt;"",COUNTA(G$9:$G528)&amp;"","")</f>
        <v/>
      </c>
      <c r="B528" s="126"/>
      <c r="C528" s="126"/>
      <c r="D528" s="50"/>
      <c r="E528" s="127"/>
      <c r="F528" s="124"/>
      <c r="G528" s="125"/>
      <c r="H528" s="33" t="str">
        <f t="shared" ref="H528" si="501">IF(F528=0,"",0)</f>
        <v/>
      </c>
      <c r="I528" s="82" t="str">
        <f t="shared" ref="I528" si="502">IF(F528=0,"",F528+(F528*H528))</f>
        <v/>
      </c>
      <c r="J528" s="34" t="str">
        <f t="shared" ref="J528" si="503">IF(F528=0,"",0)</f>
        <v/>
      </c>
      <c r="K528" s="35" t="str">
        <f t="shared" ref="K528" si="504">IF(F528=0,"",J528*I528)</f>
        <v/>
      </c>
      <c r="L528" s="36" t="str">
        <f t="shared" ref="L528" si="505">IF(F528=0,"",L$14)</f>
        <v/>
      </c>
      <c r="M528" s="37" t="str">
        <f t="shared" ref="M528" si="506">IF(F528=0,"",0)</f>
        <v/>
      </c>
      <c r="N528" s="37" t="str">
        <f t="shared" ref="N528" si="507">IF(F528=0,"",M528*I528)</f>
        <v/>
      </c>
      <c r="O528" s="35" t="str">
        <f t="shared" ref="O528" si="508">IF(F528=0,"",N528*L528)</f>
        <v/>
      </c>
      <c r="P528" s="38" t="str">
        <f t="shared" ref="P528" si="509">IF(F528=0,"",K528+O528)</f>
        <v/>
      </c>
      <c r="Q528" s="39"/>
    </row>
    <row r="529" spans="1:17" s="3" customFormat="1" ht="16.5" thickBot="1" x14ac:dyDescent="0.3">
      <c r="A529" s="122" t="str">
        <f>IF(TRIM(G529)&lt;&gt;"",COUNTA(G$9:$G529)&amp;"","")</f>
        <v/>
      </c>
      <c r="B529" s="53"/>
      <c r="C529" s="53"/>
      <c r="D529" s="54"/>
      <c r="E529" s="29"/>
      <c r="F529" s="124"/>
      <c r="G529" s="129"/>
      <c r="H529" s="151" t="s">
        <v>12</v>
      </c>
      <c r="I529" s="152"/>
      <c r="J529" s="68">
        <f>SUM(K$510:K$528)</f>
        <v>10022.349999999999</v>
      </c>
      <c r="K529" s="390" t="s">
        <v>13</v>
      </c>
      <c r="L529" s="391"/>
      <c r="M529" s="69">
        <f>SUM(O$510:O$528)</f>
        <v>3384.7652280000002</v>
      </c>
      <c r="N529" s="390" t="s">
        <v>43</v>
      </c>
      <c r="O529" s="391"/>
      <c r="P529" s="70">
        <f>SUM(N$510:N$528)</f>
        <v>46.347600000000007</v>
      </c>
      <c r="Q529" s="71">
        <f>SUM(P$510:P$528)</f>
        <v>13407.115228000001</v>
      </c>
    </row>
    <row r="530" spans="1:17" ht="20.100000000000001" customHeight="1" x14ac:dyDescent="0.25">
      <c r="A530" s="153" t="str">
        <f>IF(TRIM(G530)&lt;&gt;"",COUNTA(G$9:$G530)&amp;"","")</f>
        <v/>
      </c>
      <c r="B530" s="31"/>
      <c r="C530" s="162" t="s">
        <v>192</v>
      </c>
      <c r="D530" s="154" t="s">
        <v>63</v>
      </c>
      <c r="E530" s="154" t="s">
        <v>64</v>
      </c>
      <c r="F530" s="78"/>
      <c r="G530" s="79"/>
      <c r="H530" s="31"/>
      <c r="I530" s="79"/>
      <c r="J530" s="31"/>
      <c r="K530" s="31"/>
      <c r="L530" s="31"/>
      <c r="M530" s="31"/>
      <c r="N530" s="31"/>
      <c r="O530" s="31"/>
      <c r="P530" s="31"/>
      <c r="Q530" s="155"/>
    </row>
    <row r="531" spans="1:17" s="28" customFormat="1" ht="19.149999999999999" customHeight="1" x14ac:dyDescent="0.25">
      <c r="A531" s="122" t="str">
        <f>IF(TRIM(G531)&lt;&gt;"",COUNTA(G$9:$G531)&amp;"","")</f>
        <v/>
      </c>
      <c r="B531" s="49"/>
      <c r="C531" s="49"/>
      <c r="D531" s="50" t="s">
        <v>125</v>
      </c>
      <c r="E531" s="156" t="s">
        <v>124</v>
      </c>
      <c r="F531" s="124"/>
      <c r="G531" s="125"/>
      <c r="H531" s="33" t="str">
        <f t="shared" ref="H531" si="510">IF(F531=0,"",0)</f>
        <v/>
      </c>
      <c r="I531" s="82" t="str">
        <f t="shared" ref="I531" si="511">IF(F531=0,"",F531+(F531*H531))</f>
        <v/>
      </c>
      <c r="J531" s="34" t="str">
        <f t="shared" ref="J531" si="512">IF(F531=0,"",0)</f>
        <v/>
      </c>
      <c r="K531" s="35" t="str">
        <f t="shared" ref="K531" si="513">IF(F531=0,"",J531*I531)</f>
        <v/>
      </c>
      <c r="L531" s="36" t="str">
        <f t="shared" ref="L531" si="514">IF(F531=0,"",L$14)</f>
        <v/>
      </c>
      <c r="M531" s="37" t="str">
        <f t="shared" ref="M531" si="515">IF(F531=0,"",0)</f>
        <v/>
      </c>
      <c r="N531" s="37" t="str">
        <f t="shared" ref="N531" si="516">IF(F531=0,"",M531*I531)</f>
        <v/>
      </c>
      <c r="O531" s="35" t="str">
        <f t="shared" ref="O531" si="517">IF(F531=0,"",N531*L531)</f>
        <v/>
      </c>
      <c r="P531" s="38" t="str">
        <f t="shared" ref="P531" si="518">IF(F531=0,"",K531+O531)</f>
        <v/>
      </c>
      <c r="Q531" s="39"/>
    </row>
    <row r="532" spans="1:17" x14ac:dyDescent="0.25">
      <c r="A532" s="122" t="str">
        <f>IF(TRIM(G532)&lt;&gt;"",COUNTA(G$9:$G532)&amp;"","")</f>
        <v>440</v>
      </c>
      <c r="B532" s="123" t="s">
        <v>535</v>
      </c>
      <c r="C532" s="123" t="s">
        <v>535</v>
      </c>
      <c r="D532" s="50"/>
      <c r="E532" t="s">
        <v>585</v>
      </c>
      <c r="F532" s="124">
        <v>1</v>
      </c>
      <c r="G532" s="200" t="s">
        <v>250</v>
      </c>
      <c r="H532" s="33">
        <f t="shared" ref="H532:H533" si="519">IF(F532=0,"",0)</f>
        <v>0</v>
      </c>
      <c r="I532" s="82">
        <f t="shared" ref="I532:I533" si="520">IF(F532=0,"",F532+(F532*H532))</f>
        <v>1</v>
      </c>
      <c r="J532" s="34">
        <v>1803.6</v>
      </c>
      <c r="K532" s="35">
        <f t="shared" ref="K532:K533" si="521">IF(F532=0,"",J532*I532)</f>
        <v>1803.6</v>
      </c>
      <c r="L532" s="36">
        <f t="shared" ref="L532:L533" si="522">IF(F532=0,"",L$14)</f>
        <v>73.03</v>
      </c>
      <c r="M532" s="37">
        <v>2.86</v>
      </c>
      <c r="N532" s="37">
        <f t="shared" ref="N532:N533" si="523">IF(F532=0,"",M532*I532)</f>
        <v>2.86</v>
      </c>
      <c r="O532" s="35">
        <f t="shared" ref="O532:O533" si="524">IF(F532=0,"",N532*L532)</f>
        <v>208.86580000000001</v>
      </c>
      <c r="P532" s="38">
        <f t="shared" ref="P532:P533" si="525">IF(F532=0,"",K532+O532)</f>
        <v>2012.4657999999999</v>
      </c>
      <c r="Q532" s="39"/>
    </row>
    <row r="533" spans="1:17" x14ac:dyDescent="0.25">
      <c r="A533" s="122" t="str">
        <f>IF(TRIM(G533)&lt;&gt;"",COUNTA(G$9:$G533)&amp;"","")</f>
        <v>441</v>
      </c>
      <c r="B533" s="123" t="s">
        <v>535</v>
      </c>
      <c r="C533" s="123" t="s">
        <v>535</v>
      </c>
      <c r="D533" s="50"/>
      <c r="E533" s="199" t="s">
        <v>715</v>
      </c>
      <c r="F533" s="124">
        <v>1</v>
      </c>
      <c r="G533" s="200" t="s">
        <v>250</v>
      </c>
      <c r="H533" s="33">
        <f t="shared" si="519"/>
        <v>0</v>
      </c>
      <c r="I533" s="82">
        <f t="shared" si="520"/>
        <v>1</v>
      </c>
      <c r="J533" s="34">
        <v>1250</v>
      </c>
      <c r="K533" s="35">
        <f t="shared" si="521"/>
        <v>1250</v>
      </c>
      <c r="L533" s="36">
        <f t="shared" si="522"/>
        <v>73.03</v>
      </c>
      <c r="M533" s="37">
        <v>4</v>
      </c>
      <c r="N533" s="37">
        <f t="shared" si="523"/>
        <v>4</v>
      </c>
      <c r="O533" s="35">
        <f t="shared" si="524"/>
        <v>292.12</v>
      </c>
      <c r="P533" s="38">
        <f t="shared" si="525"/>
        <v>1542.12</v>
      </c>
      <c r="Q533" s="39"/>
    </row>
    <row r="534" spans="1:17" ht="15.75" thickBot="1" x14ac:dyDescent="0.3">
      <c r="A534" s="122" t="str">
        <f>IF(TRIM(G534)&lt;&gt;"",COUNTA(G$9:$G534)&amp;"","")</f>
        <v/>
      </c>
      <c r="B534" s="126"/>
      <c r="C534" s="126"/>
      <c r="D534" s="50"/>
      <c r="E534" s="127"/>
      <c r="F534" s="124"/>
      <c r="G534" s="125"/>
      <c r="H534" s="33" t="str">
        <f t="shared" ref="H534" si="526">IF(F534=0,"",0)</f>
        <v/>
      </c>
      <c r="I534" s="82" t="str">
        <f t="shared" ref="I534" si="527">IF(F534=0,"",F534+(F534*H534))</f>
        <v/>
      </c>
      <c r="J534" s="34" t="str">
        <f t="shared" ref="J534" si="528">IF(F534=0,"",0)</f>
        <v/>
      </c>
      <c r="K534" s="35" t="str">
        <f t="shared" ref="K534" si="529">IF(F534=0,"",J534*I534)</f>
        <v/>
      </c>
      <c r="L534" s="36" t="str">
        <f t="shared" ref="L534" si="530">IF(F534=0,"",L$14)</f>
        <v/>
      </c>
      <c r="M534" s="37" t="str">
        <f t="shared" ref="M534" si="531">IF(F534=0,"",0)</f>
        <v/>
      </c>
      <c r="N534" s="37" t="str">
        <f t="shared" ref="N534" si="532">IF(F534=0,"",M534*I534)</f>
        <v/>
      </c>
      <c r="O534" s="35" t="str">
        <f t="shared" ref="O534" si="533">IF(F534=0,"",N534*L534)</f>
        <v/>
      </c>
      <c r="P534" s="38" t="str">
        <f t="shared" ref="P534" si="534">IF(F534=0,"",K534+O534)</f>
        <v/>
      </c>
      <c r="Q534" s="39"/>
    </row>
    <row r="535" spans="1:17" s="3" customFormat="1" ht="16.5" thickBot="1" x14ac:dyDescent="0.3">
      <c r="A535" s="122" t="str">
        <f>IF(TRIM(G535)&lt;&gt;"",COUNTA(G$9:$G535)&amp;"","")</f>
        <v/>
      </c>
      <c r="B535" s="53"/>
      <c r="C535" s="53"/>
      <c r="D535" s="54"/>
      <c r="E535" s="29"/>
      <c r="F535" s="124"/>
      <c r="G535" s="129"/>
      <c r="H535" s="151" t="s">
        <v>12</v>
      </c>
      <c r="I535" s="152"/>
      <c r="J535" s="68">
        <f>SUM(K$531:K$534)</f>
        <v>3053.6</v>
      </c>
      <c r="K535" s="390" t="s">
        <v>13</v>
      </c>
      <c r="L535" s="391"/>
      <c r="M535" s="69">
        <f>SUM(O$531:O$534)</f>
        <v>500.98580000000004</v>
      </c>
      <c r="N535" s="390" t="s">
        <v>43</v>
      </c>
      <c r="O535" s="391"/>
      <c r="P535" s="70">
        <f>SUM(N$531:N$534)</f>
        <v>6.8599999999999994</v>
      </c>
      <c r="Q535" s="71">
        <f>SUM(P$531:P$534)</f>
        <v>3554.5857999999998</v>
      </c>
    </row>
    <row r="536" spans="1:17" ht="20.100000000000001" customHeight="1" x14ac:dyDescent="0.25">
      <c r="A536" s="153" t="str">
        <f>IF(TRIM(G536)&lt;&gt;"",COUNTA(G$9:$G536)&amp;"","")</f>
        <v/>
      </c>
      <c r="B536" s="31"/>
      <c r="C536" s="162" t="s">
        <v>192</v>
      </c>
      <c r="D536" s="154" t="s">
        <v>65</v>
      </c>
      <c r="E536" s="154" t="s">
        <v>66</v>
      </c>
      <c r="F536" s="78"/>
      <c r="G536" s="79"/>
      <c r="H536" s="31"/>
      <c r="I536" s="79"/>
      <c r="J536" s="31"/>
      <c r="K536" s="31"/>
      <c r="L536" s="31"/>
      <c r="M536" s="31"/>
      <c r="N536" s="31"/>
      <c r="O536" s="31"/>
      <c r="P536" s="31"/>
      <c r="Q536" s="155"/>
    </row>
    <row r="537" spans="1:17" s="28" customFormat="1" ht="19.149999999999999" customHeight="1" x14ac:dyDescent="0.25">
      <c r="A537" s="122" t="str">
        <f>IF(TRIM(G537)&lt;&gt;"",COUNTA(G$9:$G537)&amp;"","")</f>
        <v/>
      </c>
      <c r="B537" s="49"/>
      <c r="C537" s="49"/>
      <c r="D537" s="50" t="s">
        <v>127</v>
      </c>
      <c r="E537" s="156" t="s">
        <v>126</v>
      </c>
      <c r="F537" s="124"/>
      <c r="G537" s="125"/>
      <c r="H537" s="33" t="str">
        <f t="shared" ref="H537:H576" si="535">IF(F537=0,"",0)</f>
        <v/>
      </c>
      <c r="I537" s="82" t="str">
        <f t="shared" ref="I537:I576" si="536">IF(F537=0,"",F537+(F537*H537))</f>
        <v/>
      </c>
      <c r="J537" s="34" t="str">
        <f t="shared" ref="J537:J576" si="537">IF(F537=0,"",0)</f>
        <v/>
      </c>
      <c r="K537" s="35" t="str">
        <f t="shared" ref="K537:K576" si="538">IF(F537=0,"",J537*I537)</f>
        <v/>
      </c>
      <c r="L537" s="36" t="str">
        <f t="shared" ref="L537:L576" si="539">IF(F537=0,"",L$14)</f>
        <v/>
      </c>
      <c r="M537" s="37" t="str">
        <f t="shared" ref="M537:M576" si="540">IF(F537=0,"",0)</f>
        <v/>
      </c>
      <c r="N537" s="37" t="str">
        <f t="shared" ref="N537:N576" si="541">IF(F537=0,"",M537*I537)</f>
        <v/>
      </c>
      <c r="O537" s="35" t="str">
        <f t="shared" ref="O537:O576" si="542">IF(F537=0,"",N537*L537)</f>
        <v/>
      </c>
      <c r="P537" s="38" t="str">
        <f t="shared" ref="P537:P576" si="543">IF(F537=0,"",K537+O537)</f>
        <v/>
      </c>
      <c r="Q537" s="39"/>
    </row>
    <row r="538" spans="1:17" x14ac:dyDescent="0.25">
      <c r="A538" s="122" t="str">
        <f>IF(TRIM(G538)&lt;&gt;"",COUNTA(G$9:$G538)&amp;"","")</f>
        <v>442</v>
      </c>
      <c r="B538" s="123" t="s">
        <v>536</v>
      </c>
      <c r="C538" s="123" t="s">
        <v>536</v>
      </c>
      <c r="D538" s="50"/>
      <c r="E538" s="205" t="s">
        <v>716</v>
      </c>
      <c r="F538" s="106">
        <v>11</v>
      </c>
      <c r="G538" s="200" t="s">
        <v>228</v>
      </c>
      <c r="H538" s="33">
        <v>0.1</v>
      </c>
      <c r="I538" s="82">
        <f t="shared" si="536"/>
        <v>12.1</v>
      </c>
      <c r="J538" s="34">
        <f>25.5*2</f>
        <v>51</v>
      </c>
      <c r="K538" s="35">
        <f t="shared" si="538"/>
        <v>617.1</v>
      </c>
      <c r="L538" s="36">
        <f t="shared" si="539"/>
        <v>73.03</v>
      </c>
      <c r="M538" s="37">
        <f>0.114*2</f>
        <v>0.22800000000000001</v>
      </c>
      <c r="N538" s="37">
        <f t="shared" si="541"/>
        <v>2.7587999999999999</v>
      </c>
      <c r="O538" s="35">
        <f t="shared" si="542"/>
        <v>201.47516400000001</v>
      </c>
      <c r="P538" s="38">
        <f t="shared" si="543"/>
        <v>818.57516400000009</v>
      </c>
      <c r="Q538" s="39"/>
    </row>
    <row r="539" spans="1:17" ht="45" x14ac:dyDescent="0.25">
      <c r="A539" s="122" t="str">
        <f>IF(TRIM(G539)&lt;&gt;"",COUNTA(G$9:$G539)&amp;"","")</f>
        <v>443</v>
      </c>
      <c r="B539" s="123" t="s">
        <v>536</v>
      </c>
      <c r="C539" s="123" t="s">
        <v>536</v>
      </c>
      <c r="D539" s="50"/>
      <c r="E539" s="206" t="s">
        <v>538</v>
      </c>
      <c r="F539" s="106">
        <v>8</v>
      </c>
      <c r="G539" s="200" t="s">
        <v>228</v>
      </c>
      <c r="H539" s="33">
        <v>0.1</v>
      </c>
      <c r="I539" s="82">
        <f t="shared" si="536"/>
        <v>8.8000000000000007</v>
      </c>
      <c r="J539" s="34">
        <v>166</v>
      </c>
      <c r="K539" s="35">
        <f t="shared" si="538"/>
        <v>1460.8000000000002</v>
      </c>
      <c r="L539" s="36">
        <f t="shared" si="539"/>
        <v>73.03</v>
      </c>
      <c r="M539" s="37">
        <v>0.30199999999999999</v>
      </c>
      <c r="N539" s="37">
        <f t="shared" si="541"/>
        <v>2.6576</v>
      </c>
      <c r="O539" s="35">
        <f t="shared" si="542"/>
        <v>194.08452800000001</v>
      </c>
      <c r="P539" s="38">
        <f t="shared" si="543"/>
        <v>1654.8845280000003</v>
      </c>
      <c r="Q539" s="39"/>
    </row>
    <row r="540" spans="1:17" x14ac:dyDescent="0.25">
      <c r="A540" s="122" t="str">
        <f>IF(TRIM(G540)&lt;&gt;"",COUNTA(G$9:$G540)&amp;"","")</f>
        <v>444</v>
      </c>
      <c r="B540" s="123" t="s">
        <v>536</v>
      </c>
      <c r="C540" s="123" t="s">
        <v>536</v>
      </c>
      <c r="D540" s="50"/>
      <c r="E540" s="205" t="s">
        <v>542</v>
      </c>
      <c r="F540" s="106">
        <v>11</v>
      </c>
      <c r="G540" s="200" t="s">
        <v>228</v>
      </c>
      <c r="H540" s="33">
        <v>0.1</v>
      </c>
      <c r="I540" s="82">
        <f t="shared" si="536"/>
        <v>12.1</v>
      </c>
      <c r="J540" s="34">
        <v>166</v>
      </c>
      <c r="K540" s="35">
        <f t="shared" si="538"/>
        <v>2008.6</v>
      </c>
      <c r="L540" s="36">
        <f t="shared" si="539"/>
        <v>73.03</v>
      </c>
      <c r="M540" s="37">
        <v>0.30199999999999999</v>
      </c>
      <c r="N540" s="37">
        <f t="shared" si="541"/>
        <v>3.6541999999999999</v>
      </c>
      <c r="O540" s="35">
        <f t="shared" si="542"/>
        <v>266.86622599999998</v>
      </c>
      <c r="P540" s="38">
        <f t="shared" si="543"/>
        <v>2275.466226</v>
      </c>
      <c r="Q540" s="39"/>
    </row>
    <row r="541" spans="1:17" x14ac:dyDescent="0.25">
      <c r="A541" s="122" t="str">
        <f>IF(TRIM(G541)&lt;&gt;"",COUNTA(G$9:$G541)&amp;"","")</f>
        <v>445</v>
      </c>
      <c r="B541" s="123" t="s">
        <v>536</v>
      </c>
      <c r="C541" s="123" t="s">
        <v>536</v>
      </c>
      <c r="D541" s="50"/>
      <c r="E541" s="205" t="s">
        <v>543</v>
      </c>
      <c r="F541" s="106">
        <v>19</v>
      </c>
      <c r="G541" s="200" t="s">
        <v>228</v>
      </c>
      <c r="H541" s="33">
        <v>0.1</v>
      </c>
      <c r="I541" s="82">
        <f t="shared" si="536"/>
        <v>20.9</v>
      </c>
      <c r="J541" s="34">
        <v>166</v>
      </c>
      <c r="K541" s="35">
        <f t="shared" si="538"/>
        <v>3469.3999999999996</v>
      </c>
      <c r="L541" s="36">
        <f t="shared" si="539"/>
        <v>73.03</v>
      </c>
      <c r="M541" s="37">
        <v>0.30199999999999999</v>
      </c>
      <c r="N541" s="37">
        <f t="shared" si="541"/>
        <v>6.311799999999999</v>
      </c>
      <c r="O541" s="35">
        <f t="shared" si="542"/>
        <v>460.9507539999999</v>
      </c>
      <c r="P541" s="38">
        <f t="shared" si="543"/>
        <v>3930.3507539999996</v>
      </c>
      <c r="Q541" s="39"/>
    </row>
    <row r="542" spans="1:17" x14ac:dyDescent="0.25">
      <c r="A542" s="122" t="str">
        <f>IF(TRIM(G542)&lt;&gt;"",COUNTA(G$9:$G542)&amp;"","")</f>
        <v>446</v>
      </c>
      <c r="B542" s="123" t="s">
        <v>536</v>
      </c>
      <c r="C542" s="123" t="s">
        <v>536</v>
      </c>
      <c r="D542" s="50"/>
      <c r="E542" s="205" t="s">
        <v>545</v>
      </c>
      <c r="F542" s="106">
        <v>8</v>
      </c>
      <c r="G542" s="200" t="s">
        <v>228</v>
      </c>
      <c r="H542" s="33">
        <v>0.1</v>
      </c>
      <c r="I542" s="82">
        <f t="shared" si="536"/>
        <v>8.8000000000000007</v>
      </c>
      <c r="J542" s="34">
        <v>166</v>
      </c>
      <c r="K542" s="35">
        <f t="shared" si="538"/>
        <v>1460.8000000000002</v>
      </c>
      <c r="L542" s="36">
        <f t="shared" si="539"/>
        <v>73.03</v>
      </c>
      <c r="M542" s="37">
        <v>0.30199999999999999</v>
      </c>
      <c r="N542" s="37">
        <f t="shared" si="541"/>
        <v>2.6576</v>
      </c>
      <c r="O542" s="35">
        <f t="shared" si="542"/>
        <v>194.08452800000001</v>
      </c>
      <c r="P542" s="38">
        <f t="shared" si="543"/>
        <v>1654.8845280000003</v>
      </c>
      <c r="Q542" s="39"/>
    </row>
    <row r="543" spans="1:17" x14ac:dyDescent="0.25">
      <c r="A543" s="122" t="str">
        <f>IF(TRIM(G543)&lt;&gt;"",COUNTA(G$9:$G543)&amp;"","")</f>
        <v>447</v>
      </c>
      <c r="B543" s="123" t="s">
        <v>536</v>
      </c>
      <c r="C543" s="123" t="s">
        <v>536</v>
      </c>
      <c r="D543" s="50"/>
      <c r="E543" s="205" t="s">
        <v>546</v>
      </c>
      <c r="F543" s="106">
        <v>54</v>
      </c>
      <c r="G543" s="200" t="s">
        <v>228</v>
      </c>
      <c r="H543" s="33">
        <v>0.1</v>
      </c>
      <c r="I543" s="82">
        <f t="shared" si="536"/>
        <v>59.4</v>
      </c>
      <c r="J543" s="34">
        <v>166</v>
      </c>
      <c r="K543" s="35">
        <f t="shared" si="538"/>
        <v>9860.4</v>
      </c>
      <c r="L543" s="36">
        <f t="shared" si="539"/>
        <v>73.03</v>
      </c>
      <c r="M543" s="37">
        <v>0.30199999999999999</v>
      </c>
      <c r="N543" s="37">
        <f t="shared" si="541"/>
        <v>17.938800000000001</v>
      </c>
      <c r="O543" s="35">
        <f t="shared" si="542"/>
        <v>1310.0705640000001</v>
      </c>
      <c r="P543" s="38">
        <f t="shared" si="543"/>
        <v>11170.470563999999</v>
      </c>
      <c r="Q543" s="39"/>
    </row>
    <row r="544" spans="1:17" x14ac:dyDescent="0.25">
      <c r="A544" s="122" t="str">
        <f>IF(TRIM(G544)&lt;&gt;"",COUNTA(G$9:$G544)&amp;"","")</f>
        <v>448</v>
      </c>
      <c r="B544" s="123" t="s">
        <v>536</v>
      </c>
      <c r="C544" s="123" t="s">
        <v>536</v>
      </c>
      <c r="D544" s="50"/>
      <c r="E544" s="205" t="s">
        <v>547</v>
      </c>
      <c r="F544" s="106">
        <v>51</v>
      </c>
      <c r="G544" s="200" t="s">
        <v>228</v>
      </c>
      <c r="H544" s="33">
        <v>0.1</v>
      </c>
      <c r="I544" s="82">
        <f t="shared" si="536"/>
        <v>56.1</v>
      </c>
      <c r="J544" s="34">
        <v>166</v>
      </c>
      <c r="K544" s="35">
        <f t="shared" si="538"/>
        <v>9312.6</v>
      </c>
      <c r="L544" s="36">
        <f t="shared" si="539"/>
        <v>73.03</v>
      </c>
      <c r="M544" s="37">
        <v>0.30199999999999999</v>
      </c>
      <c r="N544" s="37">
        <f t="shared" si="541"/>
        <v>16.9422</v>
      </c>
      <c r="O544" s="35">
        <f t="shared" si="542"/>
        <v>1237.2888660000001</v>
      </c>
      <c r="P544" s="38">
        <f t="shared" si="543"/>
        <v>10549.888866000001</v>
      </c>
      <c r="Q544" s="39"/>
    </row>
    <row r="545" spans="1:17" x14ac:dyDescent="0.25">
      <c r="A545" s="122" t="str">
        <f>IF(TRIM(G545)&lt;&gt;"",COUNTA(G$9:$G545)&amp;"","")</f>
        <v>449</v>
      </c>
      <c r="B545" s="123" t="s">
        <v>536</v>
      </c>
      <c r="C545" s="123" t="s">
        <v>536</v>
      </c>
      <c r="D545" s="50"/>
      <c r="E545" s="205" t="s">
        <v>548</v>
      </c>
      <c r="F545" s="106">
        <v>7</v>
      </c>
      <c r="G545" s="200" t="s">
        <v>228</v>
      </c>
      <c r="H545" s="33">
        <v>0.1</v>
      </c>
      <c r="I545" s="82">
        <f t="shared" si="536"/>
        <v>7.7</v>
      </c>
      <c r="J545" s="34">
        <v>166</v>
      </c>
      <c r="K545" s="35">
        <f t="shared" si="538"/>
        <v>1278.2</v>
      </c>
      <c r="L545" s="36">
        <f t="shared" si="539"/>
        <v>73.03</v>
      </c>
      <c r="M545" s="37">
        <v>0.30199999999999999</v>
      </c>
      <c r="N545" s="37">
        <f t="shared" si="541"/>
        <v>2.3254000000000001</v>
      </c>
      <c r="O545" s="35">
        <f t="shared" si="542"/>
        <v>169.82396200000002</v>
      </c>
      <c r="P545" s="38">
        <f t="shared" si="543"/>
        <v>1448.023962</v>
      </c>
      <c r="Q545" s="39"/>
    </row>
    <row r="546" spans="1:17" x14ac:dyDescent="0.25">
      <c r="A546" s="122" t="str">
        <f>IF(TRIM(G546)&lt;&gt;"",COUNTA(G$9:$G546)&amp;"","")</f>
        <v>450</v>
      </c>
      <c r="B546" s="123" t="s">
        <v>536</v>
      </c>
      <c r="C546" s="123" t="s">
        <v>536</v>
      </c>
      <c r="D546" s="50"/>
      <c r="E546" s="205" t="s">
        <v>549</v>
      </c>
      <c r="F546" s="106">
        <v>6</v>
      </c>
      <c r="G546" s="200" t="s">
        <v>228</v>
      </c>
      <c r="H546" s="33">
        <v>0.1</v>
      </c>
      <c r="I546" s="82">
        <f t="shared" si="536"/>
        <v>6.6</v>
      </c>
      <c r="J546" s="34">
        <v>166</v>
      </c>
      <c r="K546" s="35">
        <f t="shared" si="538"/>
        <v>1095.5999999999999</v>
      </c>
      <c r="L546" s="36">
        <f t="shared" si="539"/>
        <v>73.03</v>
      </c>
      <c r="M546" s="37">
        <v>0.30199999999999999</v>
      </c>
      <c r="N546" s="37">
        <f t="shared" si="541"/>
        <v>1.9931999999999999</v>
      </c>
      <c r="O546" s="35">
        <f t="shared" si="542"/>
        <v>145.56339599999998</v>
      </c>
      <c r="P546" s="38">
        <f t="shared" si="543"/>
        <v>1241.1633959999999</v>
      </c>
      <c r="Q546" s="39"/>
    </row>
    <row r="547" spans="1:17" x14ac:dyDescent="0.25">
      <c r="A547" s="122" t="str">
        <f>IF(TRIM(G547)&lt;&gt;"",COUNTA(G$9:$G547)&amp;"","")</f>
        <v>451</v>
      </c>
      <c r="B547" s="123" t="s">
        <v>536</v>
      </c>
      <c r="C547" s="123" t="s">
        <v>536</v>
      </c>
      <c r="D547" s="50"/>
      <c r="E547" s="205" t="s">
        <v>550</v>
      </c>
      <c r="F547" s="106">
        <v>46</v>
      </c>
      <c r="G547" s="200" t="s">
        <v>228</v>
      </c>
      <c r="H547" s="33">
        <v>0.1</v>
      </c>
      <c r="I547" s="82">
        <f t="shared" si="536"/>
        <v>50.6</v>
      </c>
      <c r="J547" s="34">
        <v>166</v>
      </c>
      <c r="K547" s="35">
        <f t="shared" si="538"/>
        <v>8399.6</v>
      </c>
      <c r="L547" s="36">
        <f t="shared" si="539"/>
        <v>73.03</v>
      </c>
      <c r="M547" s="37">
        <v>0.30199999999999999</v>
      </c>
      <c r="N547" s="37">
        <f t="shared" si="541"/>
        <v>15.2812</v>
      </c>
      <c r="O547" s="35">
        <f t="shared" si="542"/>
        <v>1115.986036</v>
      </c>
      <c r="P547" s="38">
        <f t="shared" si="543"/>
        <v>9515.5860360000006</v>
      </c>
      <c r="Q547" s="39"/>
    </row>
    <row r="548" spans="1:17" x14ac:dyDescent="0.25">
      <c r="A548" s="122" t="str">
        <f>IF(TRIM(G548)&lt;&gt;"",COUNTA(G$9:$G548)&amp;"","")</f>
        <v>452</v>
      </c>
      <c r="B548" s="123" t="s">
        <v>536</v>
      </c>
      <c r="C548" s="123" t="s">
        <v>536</v>
      </c>
      <c r="D548" s="50"/>
      <c r="E548" s="205" t="s">
        <v>552</v>
      </c>
      <c r="F548" s="106">
        <v>9</v>
      </c>
      <c r="G548" s="200" t="s">
        <v>228</v>
      </c>
      <c r="H548" s="33">
        <v>0.1</v>
      </c>
      <c r="I548" s="82">
        <f t="shared" si="536"/>
        <v>9.9</v>
      </c>
      <c r="J548" s="34">
        <v>166</v>
      </c>
      <c r="K548" s="35">
        <f t="shared" si="538"/>
        <v>1643.4</v>
      </c>
      <c r="L548" s="36">
        <f t="shared" si="539"/>
        <v>73.03</v>
      </c>
      <c r="M548" s="37">
        <v>0.30199999999999999</v>
      </c>
      <c r="N548" s="37">
        <f t="shared" si="541"/>
        <v>2.9898000000000002</v>
      </c>
      <c r="O548" s="35">
        <f t="shared" si="542"/>
        <v>218.34509400000002</v>
      </c>
      <c r="P548" s="38">
        <f t="shared" si="543"/>
        <v>1861.7450940000001</v>
      </c>
      <c r="Q548" s="39"/>
    </row>
    <row r="549" spans="1:17" x14ac:dyDescent="0.25">
      <c r="A549" s="122" t="str">
        <f>IF(TRIM(G549)&lt;&gt;"",COUNTA(G$9:$G549)&amp;"","")</f>
        <v>453</v>
      </c>
      <c r="B549" s="123" t="s">
        <v>536</v>
      </c>
      <c r="C549" s="123" t="s">
        <v>536</v>
      </c>
      <c r="D549" s="50"/>
      <c r="E549" s="205" t="s">
        <v>553</v>
      </c>
      <c r="F549" s="106">
        <v>9</v>
      </c>
      <c r="G549" s="200" t="s">
        <v>228</v>
      </c>
      <c r="H549" s="33">
        <v>0.1</v>
      </c>
      <c r="I549" s="82">
        <f t="shared" si="536"/>
        <v>9.9</v>
      </c>
      <c r="J549" s="34">
        <v>166</v>
      </c>
      <c r="K549" s="35">
        <f t="shared" si="538"/>
        <v>1643.4</v>
      </c>
      <c r="L549" s="36">
        <f t="shared" si="539"/>
        <v>73.03</v>
      </c>
      <c r="M549" s="37">
        <v>0.30199999999999999</v>
      </c>
      <c r="N549" s="37">
        <f t="shared" si="541"/>
        <v>2.9898000000000002</v>
      </c>
      <c r="O549" s="35">
        <f t="shared" si="542"/>
        <v>218.34509400000002</v>
      </c>
      <c r="P549" s="38">
        <f t="shared" si="543"/>
        <v>1861.7450940000001</v>
      </c>
      <c r="Q549" s="39"/>
    </row>
    <row r="550" spans="1:17" x14ac:dyDescent="0.25">
      <c r="A550" s="122" t="str">
        <f>IF(TRIM(G550)&lt;&gt;"",COUNTA(G$9:$G550)&amp;"","")</f>
        <v>454</v>
      </c>
      <c r="B550" s="123" t="s">
        <v>536</v>
      </c>
      <c r="C550" s="123" t="s">
        <v>536</v>
      </c>
      <c r="D550" s="50"/>
      <c r="E550" s="205" t="s">
        <v>545</v>
      </c>
      <c r="F550" s="106">
        <v>44</v>
      </c>
      <c r="G550" s="200" t="s">
        <v>228</v>
      </c>
      <c r="H550" s="33">
        <v>0.1</v>
      </c>
      <c r="I550" s="82">
        <f t="shared" si="536"/>
        <v>48.4</v>
      </c>
      <c r="J550" s="34">
        <v>166</v>
      </c>
      <c r="K550" s="35">
        <f t="shared" si="538"/>
        <v>8034.4</v>
      </c>
      <c r="L550" s="36">
        <f t="shared" si="539"/>
        <v>73.03</v>
      </c>
      <c r="M550" s="37">
        <v>0.30199999999999999</v>
      </c>
      <c r="N550" s="37">
        <f t="shared" si="541"/>
        <v>14.6168</v>
      </c>
      <c r="O550" s="35">
        <f t="shared" si="542"/>
        <v>1067.4649039999999</v>
      </c>
      <c r="P550" s="38">
        <f t="shared" si="543"/>
        <v>9101.864904</v>
      </c>
      <c r="Q550" s="39"/>
    </row>
    <row r="551" spans="1:17" x14ac:dyDescent="0.25">
      <c r="A551" s="122" t="str">
        <f>IF(TRIM(G551)&lt;&gt;"",COUNTA(G$9:$G551)&amp;"","")</f>
        <v>455</v>
      </c>
      <c r="B551" s="123" t="s">
        <v>536</v>
      </c>
      <c r="C551" s="123" t="s">
        <v>536</v>
      </c>
      <c r="D551" s="50"/>
      <c r="E551" s="205" t="s">
        <v>554</v>
      </c>
      <c r="F551" s="106">
        <v>7</v>
      </c>
      <c r="G551" s="200" t="s">
        <v>228</v>
      </c>
      <c r="H551" s="33">
        <v>0.1</v>
      </c>
      <c r="I551" s="82">
        <f t="shared" si="536"/>
        <v>7.7</v>
      </c>
      <c r="J551" s="34">
        <v>166</v>
      </c>
      <c r="K551" s="35">
        <f t="shared" si="538"/>
        <v>1278.2</v>
      </c>
      <c r="L551" s="36">
        <f t="shared" si="539"/>
        <v>73.03</v>
      </c>
      <c r="M551" s="37">
        <v>0.30199999999999999</v>
      </c>
      <c r="N551" s="37">
        <f t="shared" si="541"/>
        <v>2.3254000000000001</v>
      </c>
      <c r="O551" s="35">
        <f t="shared" si="542"/>
        <v>169.82396200000002</v>
      </c>
      <c r="P551" s="38">
        <f t="shared" si="543"/>
        <v>1448.023962</v>
      </c>
      <c r="Q551" s="39"/>
    </row>
    <row r="552" spans="1:17" x14ac:dyDescent="0.25">
      <c r="A552" s="122" t="str">
        <f>IF(TRIM(G552)&lt;&gt;"",COUNTA(G$9:$G552)&amp;"","")</f>
        <v>456</v>
      </c>
      <c r="B552" s="123" t="s">
        <v>536</v>
      </c>
      <c r="C552" s="123" t="s">
        <v>536</v>
      </c>
      <c r="D552" s="50"/>
      <c r="E552" s="205" t="s">
        <v>555</v>
      </c>
      <c r="F552" s="106">
        <v>6</v>
      </c>
      <c r="G552" s="200" t="s">
        <v>228</v>
      </c>
      <c r="H552" s="33">
        <v>0.1</v>
      </c>
      <c r="I552" s="82">
        <f t="shared" si="536"/>
        <v>6.6</v>
      </c>
      <c r="J552" s="34">
        <v>166</v>
      </c>
      <c r="K552" s="35">
        <f t="shared" si="538"/>
        <v>1095.5999999999999</v>
      </c>
      <c r="L552" s="36">
        <f t="shared" si="539"/>
        <v>73.03</v>
      </c>
      <c r="M552" s="37">
        <v>0.30199999999999999</v>
      </c>
      <c r="N552" s="37">
        <f t="shared" si="541"/>
        <v>1.9931999999999999</v>
      </c>
      <c r="O552" s="35">
        <f t="shared" si="542"/>
        <v>145.56339599999998</v>
      </c>
      <c r="P552" s="38">
        <f t="shared" si="543"/>
        <v>1241.1633959999999</v>
      </c>
      <c r="Q552" s="39"/>
    </row>
    <row r="553" spans="1:17" x14ac:dyDescent="0.25">
      <c r="A553" s="122" t="str">
        <f>IF(TRIM(G553)&lt;&gt;"",COUNTA(G$9:$G553)&amp;"","")</f>
        <v>457</v>
      </c>
      <c r="B553" s="123" t="s">
        <v>536</v>
      </c>
      <c r="C553" s="123" t="s">
        <v>536</v>
      </c>
      <c r="D553" s="50"/>
      <c r="E553" s="205" t="s">
        <v>556</v>
      </c>
      <c r="F553" s="106">
        <v>9</v>
      </c>
      <c r="G553" s="200" t="s">
        <v>228</v>
      </c>
      <c r="H553" s="33">
        <v>0.1</v>
      </c>
      <c r="I553" s="82">
        <f t="shared" si="536"/>
        <v>9.9</v>
      </c>
      <c r="J553" s="34">
        <v>166</v>
      </c>
      <c r="K553" s="35">
        <f t="shared" si="538"/>
        <v>1643.4</v>
      </c>
      <c r="L553" s="36">
        <f t="shared" si="539"/>
        <v>73.03</v>
      </c>
      <c r="M553" s="37">
        <v>0.30199999999999999</v>
      </c>
      <c r="N553" s="37">
        <f t="shared" si="541"/>
        <v>2.9898000000000002</v>
      </c>
      <c r="O553" s="35">
        <f t="shared" si="542"/>
        <v>218.34509400000002</v>
      </c>
      <c r="P553" s="38">
        <f t="shared" si="543"/>
        <v>1861.7450940000001</v>
      </c>
      <c r="Q553" s="39"/>
    </row>
    <row r="554" spans="1:17" x14ac:dyDescent="0.25">
      <c r="A554" s="122" t="str">
        <f>IF(TRIM(G554)&lt;&gt;"",COUNTA(G$9:$G554)&amp;"","")</f>
        <v>458</v>
      </c>
      <c r="B554" s="123" t="s">
        <v>536</v>
      </c>
      <c r="C554" s="123" t="s">
        <v>536</v>
      </c>
      <c r="D554" s="50"/>
      <c r="E554" s="205" t="s">
        <v>557</v>
      </c>
      <c r="F554" s="106">
        <v>6</v>
      </c>
      <c r="G554" s="200" t="s">
        <v>228</v>
      </c>
      <c r="H554" s="33">
        <v>0.1</v>
      </c>
      <c r="I554" s="82">
        <f t="shared" si="536"/>
        <v>6.6</v>
      </c>
      <c r="J554" s="34">
        <v>166</v>
      </c>
      <c r="K554" s="35">
        <f t="shared" si="538"/>
        <v>1095.5999999999999</v>
      </c>
      <c r="L554" s="36">
        <f t="shared" si="539"/>
        <v>73.03</v>
      </c>
      <c r="M554" s="37">
        <v>0.30199999999999999</v>
      </c>
      <c r="N554" s="37">
        <f t="shared" si="541"/>
        <v>1.9931999999999999</v>
      </c>
      <c r="O554" s="35">
        <f t="shared" si="542"/>
        <v>145.56339599999998</v>
      </c>
      <c r="P554" s="38">
        <f t="shared" si="543"/>
        <v>1241.1633959999999</v>
      </c>
      <c r="Q554" s="39"/>
    </row>
    <row r="555" spans="1:17" x14ac:dyDescent="0.25">
      <c r="A555" s="122" t="str">
        <f>IF(TRIM(G555)&lt;&gt;"",COUNTA(G$9:$G555)&amp;"","")</f>
        <v>459</v>
      </c>
      <c r="B555" s="123" t="s">
        <v>536</v>
      </c>
      <c r="C555" s="123" t="s">
        <v>536</v>
      </c>
      <c r="D555" s="50"/>
      <c r="E555" s="205" t="s">
        <v>558</v>
      </c>
      <c r="F555" s="106">
        <v>3</v>
      </c>
      <c r="G555" s="200" t="s">
        <v>228</v>
      </c>
      <c r="H555" s="33">
        <v>0.1</v>
      </c>
      <c r="I555" s="82">
        <f t="shared" si="536"/>
        <v>3.3</v>
      </c>
      <c r="J555" s="34">
        <v>166</v>
      </c>
      <c r="K555" s="35">
        <f t="shared" si="538"/>
        <v>547.79999999999995</v>
      </c>
      <c r="L555" s="36">
        <f t="shared" si="539"/>
        <v>73.03</v>
      </c>
      <c r="M555" s="37">
        <v>0.30199999999999999</v>
      </c>
      <c r="N555" s="37">
        <f t="shared" si="541"/>
        <v>0.99659999999999993</v>
      </c>
      <c r="O555" s="35">
        <f t="shared" si="542"/>
        <v>72.781697999999992</v>
      </c>
      <c r="P555" s="38">
        <f t="shared" si="543"/>
        <v>620.58169799999996</v>
      </c>
      <c r="Q555" s="39"/>
    </row>
    <row r="556" spans="1:17" x14ac:dyDescent="0.25">
      <c r="A556" s="122" t="str">
        <f>IF(TRIM(G556)&lt;&gt;"",COUNTA(G$9:$G556)&amp;"","")</f>
        <v>460</v>
      </c>
      <c r="B556" s="123" t="s">
        <v>536</v>
      </c>
      <c r="C556" s="123" t="s">
        <v>536</v>
      </c>
      <c r="D556" s="50"/>
      <c r="E556" s="205" t="s">
        <v>559</v>
      </c>
      <c r="F556" s="124">
        <v>8</v>
      </c>
      <c r="G556" s="200" t="s">
        <v>228</v>
      </c>
      <c r="H556" s="33">
        <v>0.1</v>
      </c>
      <c r="I556" s="82">
        <f t="shared" si="536"/>
        <v>8.8000000000000007</v>
      </c>
      <c r="J556" s="34">
        <v>166</v>
      </c>
      <c r="K556" s="35">
        <f t="shared" si="538"/>
        <v>1460.8000000000002</v>
      </c>
      <c r="L556" s="36">
        <f t="shared" si="539"/>
        <v>73.03</v>
      </c>
      <c r="M556" s="37">
        <v>0.30199999999999999</v>
      </c>
      <c r="N556" s="37">
        <f t="shared" si="541"/>
        <v>2.6576</v>
      </c>
      <c r="O556" s="35">
        <f t="shared" si="542"/>
        <v>194.08452800000001</v>
      </c>
      <c r="P556" s="38">
        <f t="shared" si="543"/>
        <v>1654.8845280000003</v>
      </c>
      <c r="Q556" s="39"/>
    </row>
    <row r="557" spans="1:17" x14ac:dyDescent="0.25">
      <c r="A557" s="122" t="str">
        <f>IF(TRIM(G557)&lt;&gt;"",COUNTA(G$9:$G557)&amp;"","")</f>
        <v>461</v>
      </c>
      <c r="B557" s="123" t="s">
        <v>536</v>
      </c>
      <c r="C557" s="123" t="s">
        <v>536</v>
      </c>
      <c r="D557" s="50"/>
      <c r="E557" s="205" t="s">
        <v>560</v>
      </c>
      <c r="F557" s="124">
        <v>11</v>
      </c>
      <c r="G557" s="200" t="s">
        <v>228</v>
      </c>
      <c r="H557" s="33">
        <v>0.1</v>
      </c>
      <c r="I557" s="82">
        <f t="shared" si="536"/>
        <v>12.1</v>
      </c>
      <c r="J557" s="34">
        <v>166</v>
      </c>
      <c r="K557" s="35">
        <f t="shared" si="538"/>
        <v>2008.6</v>
      </c>
      <c r="L557" s="36">
        <f t="shared" si="539"/>
        <v>73.03</v>
      </c>
      <c r="M557" s="37">
        <v>0.30199999999999999</v>
      </c>
      <c r="N557" s="37">
        <f t="shared" si="541"/>
        <v>3.6541999999999999</v>
      </c>
      <c r="O557" s="35">
        <f t="shared" si="542"/>
        <v>266.86622599999998</v>
      </c>
      <c r="P557" s="38">
        <f t="shared" si="543"/>
        <v>2275.466226</v>
      </c>
      <c r="Q557" s="39"/>
    </row>
    <row r="558" spans="1:17" x14ac:dyDescent="0.25">
      <c r="A558" s="122" t="str">
        <f>IF(TRIM(G558)&lt;&gt;"",COUNTA(G$9:$G558)&amp;"","")</f>
        <v>462</v>
      </c>
      <c r="B558" s="123" t="s">
        <v>536</v>
      </c>
      <c r="C558" s="123" t="s">
        <v>536</v>
      </c>
      <c r="D558" s="50"/>
      <c r="E558" s="205" t="s">
        <v>717</v>
      </c>
      <c r="F558" s="124">
        <v>2</v>
      </c>
      <c r="G558" s="200" t="s">
        <v>228</v>
      </c>
      <c r="H558" s="33">
        <v>0.1</v>
      </c>
      <c r="I558" s="82">
        <f t="shared" si="536"/>
        <v>2.2000000000000002</v>
      </c>
      <c r="J558" s="34">
        <v>166</v>
      </c>
      <c r="K558" s="35">
        <f t="shared" si="538"/>
        <v>365.20000000000005</v>
      </c>
      <c r="L558" s="36">
        <f t="shared" si="539"/>
        <v>73.03</v>
      </c>
      <c r="M558" s="37">
        <v>0.30199999999999999</v>
      </c>
      <c r="N558" s="37">
        <f t="shared" si="541"/>
        <v>0.66439999999999999</v>
      </c>
      <c r="O558" s="35">
        <f t="shared" si="542"/>
        <v>48.521132000000001</v>
      </c>
      <c r="P558" s="38">
        <f t="shared" si="543"/>
        <v>413.72113200000007</v>
      </c>
      <c r="Q558" s="39"/>
    </row>
    <row r="559" spans="1:17" s="28" customFormat="1" ht="19.149999999999999" customHeight="1" x14ac:dyDescent="0.25">
      <c r="A559" s="122" t="str">
        <f>IF(TRIM(G559)&lt;&gt;"",COUNTA(G$9:$G559)&amp;"","")</f>
        <v/>
      </c>
      <c r="B559" s="49"/>
      <c r="C559" s="49"/>
      <c r="D559" s="50" t="s">
        <v>129</v>
      </c>
      <c r="E559" s="202" t="s">
        <v>128</v>
      </c>
      <c r="F559" s="124"/>
      <c r="G559" s="200"/>
      <c r="H559" s="33"/>
      <c r="I559" s="82" t="str">
        <f t="shared" si="536"/>
        <v/>
      </c>
      <c r="J559" s="34" t="str">
        <f t="shared" si="537"/>
        <v/>
      </c>
      <c r="K559" s="35" t="str">
        <f t="shared" si="538"/>
        <v/>
      </c>
      <c r="L559" s="36" t="str">
        <f t="shared" si="539"/>
        <v/>
      </c>
      <c r="M559" s="37" t="str">
        <f t="shared" si="540"/>
        <v/>
      </c>
      <c r="N559" s="37" t="str">
        <f t="shared" si="541"/>
        <v/>
      </c>
      <c r="O559" s="35" t="str">
        <f t="shared" si="542"/>
        <v/>
      </c>
      <c r="P559" s="38" t="str">
        <f t="shared" si="543"/>
        <v/>
      </c>
      <c r="Q559" s="39"/>
    </row>
    <row r="560" spans="1:17" x14ac:dyDescent="0.25">
      <c r="A560" s="122" t="str">
        <f>IF(TRIM(G560)&lt;&gt;"",COUNTA(G$9:$G560)&amp;"","")</f>
        <v>463</v>
      </c>
      <c r="B560" s="123" t="s">
        <v>536</v>
      </c>
      <c r="C560" s="123" t="s">
        <v>536</v>
      </c>
      <c r="D560" s="50"/>
      <c r="E560" s="205" t="s">
        <v>562</v>
      </c>
      <c r="F560" s="124">
        <v>10.029999999999999</v>
      </c>
      <c r="G560" s="125" t="s">
        <v>228</v>
      </c>
      <c r="H560" s="33">
        <v>0.1</v>
      </c>
      <c r="I560" s="82">
        <f t="shared" si="536"/>
        <v>11.032999999999999</v>
      </c>
      <c r="J560" s="34">
        <v>61.12</v>
      </c>
      <c r="K560" s="35">
        <f t="shared" si="538"/>
        <v>674.33695999999998</v>
      </c>
      <c r="L560" s="36">
        <f t="shared" si="539"/>
        <v>73.03</v>
      </c>
      <c r="M560" s="37">
        <v>0.67</v>
      </c>
      <c r="N560" s="37">
        <f t="shared" si="541"/>
        <v>7.3921099999999997</v>
      </c>
      <c r="O560" s="35">
        <f t="shared" si="542"/>
        <v>539.84579329999997</v>
      </c>
      <c r="P560" s="38">
        <f t="shared" si="543"/>
        <v>1214.1827533000001</v>
      </c>
      <c r="Q560" s="39"/>
    </row>
    <row r="561" spans="1:17" ht="45" x14ac:dyDescent="0.25">
      <c r="A561" s="122" t="str">
        <f>IF(TRIM(G561)&lt;&gt;"",COUNTA(G$9:$G561)&amp;"","")</f>
        <v>464</v>
      </c>
      <c r="B561" s="123" t="s">
        <v>536</v>
      </c>
      <c r="C561" s="123" t="s">
        <v>536</v>
      </c>
      <c r="D561" s="50"/>
      <c r="E561" s="206" t="s">
        <v>563</v>
      </c>
      <c r="F561" s="124">
        <v>7.48</v>
      </c>
      <c r="G561" s="125" t="s">
        <v>228</v>
      </c>
      <c r="H561" s="33">
        <v>0.1</v>
      </c>
      <c r="I561" s="82">
        <f t="shared" si="536"/>
        <v>8.2279999999999998</v>
      </c>
      <c r="J561" s="34">
        <v>61.12</v>
      </c>
      <c r="K561" s="35">
        <f t="shared" si="538"/>
        <v>502.89535999999998</v>
      </c>
      <c r="L561" s="36">
        <f t="shared" si="539"/>
        <v>73.03</v>
      </c>
      <c r="M561" s="37">
        <v>0.67</v>
      </c>
      <c r="N561" s="37">
        <f t="shared" si="541"/>
        <v>5.5127600000000001</v>
      </c>
      <c r="O561" s="35">
        <f t="shared" si="542"/>
        <v>402.5968628</v>
      </c>
      <c r="P561" s="38">
        <f t="shared" si="543"/>
        <v>905.49222280000004</v>
      </c>
      <c r="Q561" s="39"/>
    </row>
    <row r="562" spans="1:17" x14ac:dyDescent="0.25">
      <c r="A562" s="122" t="str">
        <f>IF(TRIM(G562)&lt;&gt;"",COUNTA(G$9:$G562)&amp;"","")</f>
        <v>465</v>
      </c>
      <c r="B562" s="123" t="s">
        <v>536</v>
      </c>
      <c r="C562" s="123" t="s">
        <v>536</v>
      </c>
      <c r="D562" s="50"/>
      <c r="E562" s="205" t="s">
        <v>718</v>
      </c>
      <c r="F562" s="124">
        <v>107</v>
      </c>
      <c r="G562" s="125" t="s">
        <v>228</v>
      </c>
      <c r="H562" s="33">
        <v>0.1</v>
      </c>
      <c r="I562" s="82">
        <f t="shared" si="536"/>
        <v>117.7</v>
      </c>
      <c r="J562" s="34">
        <v>280</v>
      </c>
      <c r="K562" s="35">
        <f t="shared" si="538"/>
        <v>32956</v>
      </c>
      <c r="L562" s="36">
        <f t="shared" si="539"/>
        <v>73.03</v>
      </c>
      <c r="M562" s="37">
        <v>0.8</v>
      </c>
      <c r="N562" s="37">
        <f t="shared" si="541"/>
        <v>94.160000000000011</v>
      </c>
      <c r="O562" s="35">
        <f t="shared" si="542"/>
        <v>6876.5048000000006</v>
      </c>
      <c r="P562" s="38">
        <f t="shared" si="543"/>
        <v>39832.504800000002</v>
      </c>
      <c r="Q562" s="39"/>
    </row>
    <row r="563" spans="1:17" x14ac:dyDescent="0.25">
      <c r="A563" s="122" t="str">
        <f>IF(TRIM(G563)&lt;&gt;"",COUNTA(G$9:$G563)&amp;"","")</f>
        <v>466</v>
      </c>
      <c r="B563" s="123" t="s">
        <v>536</v>
      </c>
      <c r="C563" s="123" t="s">
        <v>536</v>
      </c>
      <c r="D563" s="50"/>
      <c r="E563" s="205" t="s">
        <v>719</v>
      </c>
      <c r="F563" s="124">
        <v>63</v>
      </c>
      <c r="G563" s="125" t="s">
        <v>228</v>
      </c>
      <c r="H563" s="33">
        <v>0.1</v>
      </c>
      <c r="I563" s="82">
        <f t="shared" si="536"/>
        <v>69.3</v>
      </c>
      <c r="J563" s="34">
        <v>280</v>
      </c>
      <c r="K563" s="35">
        <f t="shared" si="538"/>
        <v>19404</v>
      </c>
      <c r="L563" s="36">
        <f t="shared" si="539"/>
        <v>73.03</v>
      </c>
      <c r="M563" s="37">
        <v>0.8</v>
      </c>
      <c r="N563" s="37">
        <f t="shared" si="541"/>
        <v>55.44</v>
      </c>
      <c r="O563" s="35">
        <f t="shared" si="542"/>
        <v>4048.7831999999999</v>
      </c>
      <c r="P563" s="38">
        <f t="shared" si="543"/>
        <v>23452.783199999998</v>
      </c>
      <c r="Q563" s="39"/>
    </row>
    <row r="564" spans="1:17" x14ac:dyDescent="0.25">
      <c r="A564" s="122" t="str">
        <f>IF(TRIM(G564)&lt;&gt;"",COUNTA(G$9:$G564)&amp;"","")</f>
        <v>467</v>
      </c>
      <c r="B564" s="123" t="s">
        <v>536</v>
      </c>
      <c r="C564" s="123" t="s">
        <v>536</v>
      </c>
      <c r="D564" s="50"/>
      <c r="E564" s="205" t="s">
        <v>720</v>
      </c>
      <c r="F564" s="124">
        <v>9</v>
      </c>
      <c r="G564" s="125" t="s">
        <v>228</v>
      </c>
      <c r="H564" s="33">
        <v>0.1</v>
      </c>
      <c r="I564" s="82">
        <f t="shared" ref="I564:I565" si="544">IF(F564=0,"",F564+(F564*H564))</f>
        <v>9.9</v>
      </c>
      <c r="J564" s="34">
        <v>280</v>
      </c>
      <c r="K564" s="35">
        <f t="shared" ref="K564:K565" si="545">IF(F564=0,"",J564*I564)</f>
        <v>2772</v>
      </c>
      <c r="L564" s="36">
        <f t="shared" ref="L564:L565" si="546">IF(F564=0,"",L$14)</f>
        <v>73.03</v>
      </c>
      <c r="M564" s="37">
        <v>0.8</v>
      </c>
      <c r="N564" s="37">
        <f t="shared" ref="N564:N565" si="547">IF(F564=0,"",M564*I564)</f>
        <v>7.9200000000000008</v>
      </c>
      <c r="O564" s="35">
        <f t="shared" ref="O564:O565" si="548">IF(F564=0,"",N564*L564)</f>
        <v>578.39760000000012</v>
      </c>
      <c r="P564" s="38">
        <f t="shared" ref="P564:P565" si="549">IF(F564=0,"",K564+O564)</f>
        <v>3350.3976000000002</v>
      </c>
      <c r="Q564" s="39"/>
    </row>
    <row r="565" spans="1:17" x14ac:dyDescent="0.25">
      <c r="A565" s="122" t="str">
        <f>IF(TRIM(G565)&lt;&gt;"",COUNTA(G$9:$G565)&amp;"","")</f>
        <v>468</v>
      </c>
      <c r="B565" s="123" t="s">
        <v>536</v>
      </c>
      <c r="C565" s="123" t="s">
        <v>536</v>
      </c>
      <c r="D565" s="50"/>
      <c r="E565" s="205" t="s">
        <v>721</v>
      </c>
      <c r="F565" s="124">
        <v>7</v>
      </c>
      <c r="G565" s="125" t="s">
        <v>228</v>
      </c>
      <c r="H565" s="33">
        <v>0.1</v>
      </c>
      <c r="I565" s="82">
        <f t="shared" si="544"/>
        <v>7.7</v>
      </c>
      <c r="J565" s="34">
        <v>280</v>
      </c>
      <c r="K565" s="35">
        <f t="shared" si="545"/>
        <v>2156</v>
      </c>
      <c r="L565" s="36">
        <f t="shared" si="546"/>
        <v>73.03</v>
      </c>
      <c r="M565" s="37">
        <v>0.8</v>
      </c>
      <c r="N565" s="37">
        <f t="shared" si="547"/>
        <v>6.16</v>
      </c>
      <c r="O565" s="35">
        <f t="shared" si="548"/>
        <v>449.8648</v>
      </c>
      <c r="P565" s="38">
        <f t="shared" si="549"/>
        <v>2605.8647999999998</v>
      </c>
      <c r="Q565" s="39"/>
    </row>
    <row r="566" spans="1:17" x14ac:dyDescent="0.25">
      <c r="A566" s="122" t="str">
        <f>IF(TRIM(G566)&lt;&gt;"",COUNTA(G$9:$G566)&amp;"","")</f>
        <v>469</v>
      </c>
      <c r="B566" s="123" t="s">
        <v>536</v>
      </c>
      <c r="C566" s="123" t="s">
        <v>536</v>
      </c>
      <c r="D566" s="50"/>
      <c r="E566" s="205" t="s">
        <v>722</v>
      </c>
      <c r="F566" s="124">
        <v>6</v>
      </c>
      <c r="G566" s="125" t="s">
        <v>228</v>
      </c>
      <c r="H566" s="33">
        <v>0.1</v>
      </c>
      <c r="I566" s="82">
        <f t="shared" si="536"/>
        <v>6.6</v>
      </c>
      <c r="J566" s="34">
        <v>280</v>
      </c>
      <c r="K566" s="35">
        <f t="shared" si="538"/>
        <v>1848</v>
      </c>
      <c r="L566" s="36">
        <f t="shared" si="539"/>
        <v>73.03</v>
      </c>
      <c r="M566" s="37">
        <v>0.8</v>
      </c>
      <c r="N566" s="37">
        <f t="shared" si="541"/>
        <v>5.28</v>
      </c>
      <c r="O566" s="35">
        <f t="shared" si="542"/>
        <v>385.59840000000003</v>
      </c>
      <c r="P566" s="38">
        <f t="shared" si="543"/>
        <v>2233.5983999999999</v>
      </c>
      <c r="Q566" s="39"/>
    </row>
    <row r="567" spans="1:17" x14ac:dyDescent="0.25">
      <c r="A567" s="122" t="str">
        <f>IF(TRIM(G567)&lt;&gt;"",COUNTA(G$9:$G567)&amp;"","")</f>
        <v>470</v>
      </c>
      <c r="B567" s="123" t="s">
        <v>536</v>
      </c>
      <c r="C567" s="123" t="s">
        <v>536</v>
      </c>
      <c r="D567" s="50"/>
      <c r="E567" s="205" t="s">
        <v>551</v>
      </c>
      <c r="F567" s="124">
        <v>10</v>
      </c>
      <c r="G567" s="200" t="s">
        <v>228</v>
      </c>
      <c r="H567" s="33">
        <v>0.1</v>
      </c>
      <c r="I567" s="82">
        <f>IF(F567=0,"",F567+(F567*H567))</f>
        <v>11</v>
      </c>
      <c r="J567" s="34">
        <v>280</v>
      </c>
      <c r="K567" s="35">
        <f>IF(F567=0,"",J567*I567)</f>
        <v>3080</v>
      </c>
      <c r="L567" s="36">
        <f>IF(F567=0,"",L$14)</f>
        <v>73.03</v>
      </c>
      <c r="M567" s="37">
        <v>0.8</v>
      </c>
      <c r="N567" s="37">
        <f>IF(F567=0,"",M567*I567)</f>
        <v>8.8000000000000007</v>
      </c>
      <c r="O567" s="35">
        <f>IF(F567=0,"",N567*L567)</f>
        <v>642.6640000000001</v>
      </c>
      <c r="P567" s="38">
        <f>IF(F567=0,"",K567+O567)</f>
        <v>3722.6640000000002</v>
      </c>
      <c r="Q567" s="39"/>
    </row>
    <row r="568" spans="1:17" s="28" customFormat="1" ht="19.149999999999999" customHeight="1" x14ac:dyDescent="0.25">
      <c r="A568" s="122" t="str">
        <f>IF(TRIM(G568)&lt;&gt;"",COUNTA(G$9:$G568)&amp;"","")</f>
        <v/>
      </c>
      <c r="B568" s="49"/>
      <c r="C568" s="49"/>
      <c r="D568" s="50" t="s">
        <v>132</v>
      </c>
      <c r="E568" s="201" t="s">
        <v>564</v>
      </c>
      <c r="F568" s="124"/>
      <c r="G568" s="200"/>
      <c r="H568" s="33" t="str">
        <f t="shared" si="535"/>
        <v/>
      </c>
      <c r="I568" s="82" t="str">
        <f t="shared" si="536"/>
        <v/>
      </c>
      <c r="J568" s="34" t="str">
        <f t="shared" si="537"/>
        <v/>
      </c>
      <c r="K568" s="35" t="str">
        <f t="shared" si="538"/>
        <v/>
      </c>
      <c r="L568" s="36" t="str">
        <f t="shared" si="539"/>
        <v/>
      </c>
      <c r="M568" s="37" t="str">
        <f t="shared" si="540"/>
        <v/>
      </c>
      <c r="N568" s="37" t="str">
        <f t="shared" si="541"/>
        <v/>
      </c>
      <c r="O568" s="35" t="str">
        <f t="shared" si="542"/>
        <v/>
      </c>
      <c r="P568" s="38" t="str">
        <f t="shared" si="543"/>
        <v/>
      </c>
      <c r="Q568" s="39"/>
    </row>
    <row r="569" spans="1:17" ht="60" x14ac:dyDescent="0.25">
      <c r="A569" s="122" t="str">
        <f>IF(TRIM(G569)&lt;&gt;"",COUNTA(G$9:$G569)&amp;"","")</f>
        <v>471</v>
      </c>
      <c r="B569" s="123" t="s">
        <v>536</v>
      </c>
      <c r="C569" s="123" t="s">
        <v>536</v>
      </c>
      <c r="D569" s="50"/>
      <c r="E569" s="89" t="s">
        <v>565</v>
      </c>
      <c r="F569" s="124">
        <v>1</v>
      </c>
      <c r="G569" s="200" t="s">
        <v>250</v>
      </c>
      <c r="H569" s="33">
        <f t="shared" si="535"/>
        <v>0</v>
      </c>
      <c r="I569" s="82">
        <f t="shared" si="536"/>
        <v>1</v>
      </c>
      <c r="J569" s="34">
        <v>294.58999999999997</v>
      </c>
      <c r="K569" s="35">
        <f t="shared" si="538"/>
        <v>294.58999999999997</v>
      </c>
      <c r="L569" s="36">
        <f t="shared" si="539"/>
        <v>73.03</v>
      </c>
      <c r="M569" s="37">
        <v>1.6</v>
      </c>
      <c r="N569" s="37">
        <f t="shared" si="541"/>
        <v>1.6</v>
      </c>
      <c r="O569" s="35">
        <f t="shared" si="542"/>
        <v>116.84800000000001</v>
      </c>
      <c r="P569" s="38">
        <f t="shared" si="543"/>
        <v>411.43799999999999</v>
      </c>
      <c r="Q569" s="39"/>
    </row>
    <row r="570" spans="1:17" s="28" customFormat="1" ht="19.149999999999999" customHeight="1" x14ac:dyDescent="0.25">
      <c r="A570" s="122" t="str">
        <f>IF(TRIM(G570)&lt;&gt;"",COUNTA(G$9:$G570)&amp;"","")</f>
        <v/>
      </c>
      <c r="B570" s="49"/>
      <c r="C570" s="49"/>
      <c r="D570" s="50" t="s">
        <v>131</v>
      </c>
      <c r="E570" s="156" t="s">
        <v>130</v>
      </c>
      <c r="F570" s="124"/>
      <c r="G570" s="125"/>
      <c r="H570" s="33" t="str">
        <f t="shared" si="535"/>
        <v/>
      </c>
      <c r="I570" s="82" t="str">
        <f t="shared" si="536"/>
        <v/>
      </c>
      <c r="J570" s="34" t="str">
        <f t="shared" si="537"/>
        <v/>
      </c>
      <c r="K570" s="35" t="str">
        <f t="shared" si="538"/>
        <v/>
      </c>
      <c r="L570" s="36" t="str">
        <f t="shared" si="539"/>
        <v/>
      </c>
      <c r="M570" s="37" t="str">
        <f t="shared" si="540"/>
        <v/>
      </c>
      <c r="N570" s="37" t="str">
        <f t="shared" si="541"/>
        <v/>
      </c>
      <c r="O570" s="35" t="str">
        <f t="shared" si="542"/>
        <v/>
      </c>
      <c r="P570" s="38" t="str">
        <f t="shared" si="543"/>
        <v/>
      </c>
      <c r="Q570" s="39"/>
    </row>
    <row r="571" spans="1:17" x14ac:dyDescent="0.25">
      <c r="A571" s="122" t="str">
        <f>IF(TRIM(G571)&lt;&gt;"",COUNTA(G$9:$G571)&amp;"","")</f>
        <v>472</v>
      </c>
      <c r="B571" s="123" t="s">
        <v>536</v>
      </c>
      <c r="C571" s="123" t="s">
        <v>536</v>
      </c>
      <c r="D571" s="50"/>
      <c r="E571" s="205" t="s">
        <v>537</v>
      </c>
      <c r="F571" s="106">
        <v>16</v>
      </c>
      <c r="G571" s="200" t="s">
        <v>228</v>
      </c>
      <c r="H571" s="33">
        <v>0.1</v>
      </c>
      <c r="I571" s="82">
        <f>IF(F571=0,"",F571+(F571*H571))</f>
        <v>17.600000000000001</v>
      </c>
      <c r="J571" s="34">
        <v>196</v>
      </c>
      <c r="K571" s="35">
        <f>IF(F571=0,"",J571*I571)</f>
        <v>3449.6000000000004</v>
      </c>
      <c r="L571" s="36">
        <f>IF(F571=0,"",L$14)</f>
        <v>73.03</v>
      </c>
      <c r="M571" s="37">
        <v>0.4</v>
      </c>
      <c r="N571" s="37">
        <f>IF(F571=0,"",M571*I571)</f>
        <v>7.0400000000000009</v>
      </c>
      <c r="O571" s="35">
        <f>IF(F571=0,"",N571*L571)</f>
        <v>514.13120000000004</v>
      </c>
      <c r="P571" s="38">
        <f>IF(F571=0,"",K571+O571)</f>
        <v>3963.7312000000002</v>
      </c>
      <c r="Q571" s="39"/>
    </row>
    <row r="572" spans="1:17" x14ac:dyDescent="0.25">
      <c r="A572" s="122" t="str">
        <f>IF(TRIM(G572)&lt;&gt;"",COUNTA(G$9:$G572)&amp;"","")</f>
        <v>473</v>
      </c>
      <c r="B572" s="123" t="s">
        <v>536</v>
      </c>
      <c r="C572" s="123" t="s">
        <v>536</v>
      </c>
      <c r="D572" s="50"/>
      <c r="E572" s="205" t="s">
        <v>544</v>
      </c>
      <c r="F572" s="106">
        <v>17</v>
      </c>
      <c r="G572" s="200" t="s">
        <v>228</v>
      </c>
      <c r="H572" s="33">
        <v>0.1</v>
      </c>
      <c r="I572" s="82">
        <f>IF(F572=0,"",F572+(F572*H572))</f>
        <v>18.7</v>
      </c>
      <c r="J572" s="34">
        <v>196</v>
      </c>
      <c r="K572" s="35">
        <f>IF(F572=0,"",J572*I572)</f>
        <v>3665.2</v>
      </c>
      <c r="L572" s="36">
        <f>IF(F572=0,"",L$14)</f>
        <v>73.03</v>
      </c>
      <c r="M572" s="37">
        <v>0.4</v>
      </c>
      <c r="N572" s="37">
        <f>IF(F572=0,"",M572*I572)</f>
        <v>7.48</v>
      </c>
      <c r="O572" s="35">
        <f>IF(F572=0,"",N572*L572)</f>
        <v>546.26440000000002</v>
      </c>
      <c r="P572" s="38">
        <f>IF(F572=0,"",K572+O572)</f>
        <v>4211.4643999999998</v>
      </c>
      <c r="Q572" s="39"/>
    </row>
    <row r="573" spans="1:17" x14ac:dyDescent="0.25">
      <c r="A573" s="122" t="str">
        <f>IF(TRIM(G573)&lt;&gt;"",COUNTA(G$9:$G573)&amp;"","")</f>
        <v>474</v>
      </c>
      <c r="B573" s="123" t="s">
        <v>536</v>
      </c>
      <c r="C573" s="123" t="s">
        <v>536</v>
      </c>
      <c r="D573" s="50"/>
      <c r="E573" s="205" t="s">
        <v>561</v>
      </c>
      <c r="F573" s="106">
        <v>9</v>
      </c>
      <c r="G573" s="200" t="s">
        <v>228</v>
      </c>
      <c r="H573" s="33">
        <v>0.1</v>
      </c>
      <c r="I573" s="82">
        <f>IF(F573=0,"",F573+(F573*H573))</f>
        <v>9.9</v>
      </c>
      <c r="J573" s="34">
        <v>196</v>
      </c>
      <c r="K573" s="35">
        <f>IF(F573=0,"",J573*I573)</f>
        <v>1940.4</v>
      </c>
      <c r="L573" s="36">
        <f>IF(F573=0,"",L$14)</f>
        <v>73.03</v>
      </c>
      <c r="M573" s="37">
        <v>0.4</v>
      </c>
      <c r="N573" s="37">
        <f>IF(F573=0,"",M573*I573)</f>
        <v>3.9600000000000004</v>
      </c>
      <c r="O573" s="35">
        <f>IF(F573=0,"",N573*L573)</f>
        <v>289.19880000000006</v>
      </c>
      <c r="P573" s="38">
        <f>IF(F573=0,"",K573+O573)</f>
        <v>2229.5988000000002</v>
      </c>
      <c r="Q573" s="39"/>
    </row>
    <row r="574" spans="1:17" x14ac:dyDescent="0.25">
      <c r="A574" s="122" t="str">
        <f>IF(TRIM(G574)&lt;&gt;"",COUNTA(G$9:$G574)&amp;"","")</f>
        <v>475</v>
      </c>
      <c r="B574" s="123" t="s">
        <v>536</v>
      </c>
      <c r="C574" s="123" t="s">
        <v>536</v>
      </c>
      <c r="D574" s="50"/>
      <c r="E574" s="205" t="s">
        <v>723</v>
      </c>
      <c r="F574" s="106">
        <v>42</v>
      </c>
      <c r="G574" s="200" t="s">
        <v>228</v>
      </c>
      <c r="H574" s="33">
        <v>0.1</v>
      </c>
      <c r="I574" s="82">
        <f>IF(F574=0,"",F574+(F574*H574))</f>
        <v>46.2</v>
      </c>
      <c r="J574" s="34">
        <v>196</v>
      </c>
      <c r="K574" s="35">
        <f>IF(F574=0,"",J574*I574)</f>
        <v>9055.2000000000007</v>
      </c>
      <c r="L574" s="36">
        <f>IF(F574=0,"",L$14)</f>
        <v>73.03</v>
      </c>
      <c r="M574" s="37">
        <v>0.4</v>
      </c>
      <c r="N574" s="37">
        <f>IF(F574=0,"",M574*I574)</f>
        <v>18.48</v>
      </c>
      <c r="O574" s="35">
        <f>IF(F574=0,"",N574*L574)</f>
        <v>1349.5944</v>
      </c>
      <c r="P574" s="38">
        <f>IF(F574=0,"",K574+O574)</f>
        <v>10404.794400000001</v>
      </c>
      <c r="Q574" s="39"/>
    </row>
    <row r="575" spans="1:17" x14ac:dyDescent="0.25">
      <c r="A575" s="122" t="str">
        <f>IF(TRIM(G575)&lt;&gt;"",COUNTA(G$9:$G575)&amp;"","")</f>
        <v>476</v>
      </c>
      <c r="B575" s="123" t="s">
        <v>536</v>
      </c>
      <c r="C575" s="123" t="s">
        <v>536</v>
      </c>
      <c r="D575" s="50"/>
      <c r="E575" s="205" t="s">
        <v>724</v>
      </c>
      <c r="F575" s="106">
        <v>11</v>
      </c>
      <c r="G575" s="200" t="s">
        <v>228</v>
      </c>
      <c r="H575" s="33">
        <v>0.1</v>
      </c>
      <c r="I575" s="82">
        <f>IF(F575=0,"",F575+(F575*H575))</f>
        <v>12.1</v>
      </c>
      <c r="J575" s="34">
        <v>196</v>
      </c>
      <c r="K575" s="35">
        <f>IF(F575=0,"",J575*I575)</f>
        <v>2371.6</v>
      </c>
      <c r="L575" s="36">
        <f>IF(F575=0,"",L$14)</f>
        <v>73.03</v>
      </c>
      <c r="M575" s="37">
        <v>0.4</v>
      </c>
      <c r="N575" s="37">
        <f>IF(F575=0,"",M575*I575)</f>
        <v>4.84</v>
      </c>
      <c r="O575" s="35">
        <f>IF(F575=0,"",N575*L575)</f>
        <v>353.46519999999998</v>
      </c>
      <c r="P575" s="38">
        <f>IF(F575=0,"",K575+O575)</f>
        <v>2725.0652</v>
      </c>
      <c r="Q575" s="39"/>
    </row>
    <row r="576" spans="1:17" ht="15.75" thickBot="1" x14ac:dyDescent="0.3">
      <c r="A576" s="122" t="str">
        <f>IF(TRIM(G576)&lt;&gt;"",COUNTA(G$9:$G576)&amp;"","")</f>
        <v/>
      </c>
      <c r="B576" s="126"/>
      <c r="C576" s="126"/>
      <c r="D576" s="50"/>
      <c r="E576" s="127"/>
      <c r="F576" s="124"/>
      <c r="G576" s="125"/>
      <c r="H576" s="33" t="str">
        <f t="shared" si="535"/>
        <v/>
      </c>
      <c r="I576" s="82" t="str">
        <f t="shared" si="536"/>
        <v/>
      </c>
      <c r="J576" s="34" t="str">
        <f t="shared" si="537"/>
        <v/>
      </c>
      <c r="K576" s="35" t="str">
        <f t="shared" si="538"/>
        <v/>
      </c>
      <c r="L576" s="36" t="str">
        <f t="shared" si="539"/>
        <v/>
      </c>
      <c r="M576" s="37" t="str">
        <f t="shared" si="540"/>
        <v/>
      </c>
      <c r="N576" s="37" t="str">
        <f t="shared" si="541"/>
        <v/>
      </c>
      <c r="O576" s="35" t="str">
        <f t="shared" si="542"/>
        <v/>
      </c>
      <c r="P576" s="38" t="str">
        <f t="shared" si="543"/>
        <v/>
      </c>
      <c r="Q576" s="39"/>
    </row>
    <row r="577" spans="1:17" s="3" customFormat="1" ht="16.5" thickBot="1" x14ac:dyDescent="0.3">
      <c r="A577" s="122" t="str">
        <f>IF(TRIM(G577)&lt;&gt;"",COUNTA(G$9:$G577)&amp;"","")</f>
        <v/>
      </c>
      <c r="B577" s="53"/>
      <c r="C577" s="53"/>
      <c r="D577" s="54"/>
      <c r="E577" s="29"/>
      <c r="F577" s="124"/>
      <c r="G577" s="129"/>
      <c r="H577" s="151" t="s">
        <v>12</v>
      </c>
      <c r="I577" s="152"/>
      <c r="J577" s="68">
        <f>SUM(K$537:K$576)</f>
        <v>143949.32232000004</v>
      </c>
      <c r="K577" s="390" t="s">
        <v>13</v>
      </c>
      <c r="L577" s="391"/>
      <c r="M577" s="69">
        <f>SUM(O$537:O$576)</f>
        <v>25155.656004099998</v>
      </c>
      <c r="N577" s="390" t="s">
        <v>43</v>
      </c>
      <c r="O577" s="391"/>
      <c r="P577" s="70">
        <f>SUM(N$537:N$576)</f>
        <v>344.45647000000008</v>
      </c>
      <c r="Q577" s="71">
        <f>SUM(P$537:P$576)</f>
        <v>169104.97832410006</v>
      </c>
    </row>
    <row r="578" spans="1:17" ht="20.100000000000001" customHeight="1" x14ac:dyDescent="0.25">
      <c r="A578" s="153" t="str">
        <f>IF(TRIM(G578)&lt;&gt;"",COUNTA(G$9:$G578)&amp;"","")</f>
        <v/>
      </c>
      <c r="B578" s="31"/>
      <c r="C578" s="162" t="s">
        <v>192</v>
      </c>
      <c r="D578" s="154" t="s">
        <v>188</v>
      </c>
      <c r="E578" s="154" t="s">
        <v>187</v>
      </c>
      <c r="F578" s="78"/>
      <c r="G578" s="79"/>
      <c r="H578" s="31"/>
      <c r="I578" s="79"/>
      <c r="J578" s="31"/>
      <c r="K578" s="31"/>
      <c r="L578" s="31"/>
      <c r="M578" s="31"/>
      <c r="N578" s="31"/>
      <c r="O578" s="31"/>
      <c r="P578" s="31"/>
      <c r="Q578" s="155"/>
    </row>
    <row r="579" spans="1:17" s="28" customFormat="1" ht="19.149999999999999" customHeight="1" x14ac:dyDescent="0.25">
      <c r="A579" s="122" t="str">
        <f>IF(TRIM(G579)&lt;&gt;"",COUNTA(G$9:$G579)&amp;"","")</f>
        <v/>
      </c>
      <c r="B579" s="49"/>
      <c r="C579" s="49"/>
      <c r="D579" s="50" t="s">
        <v>135</v>
      </c>
      <c r="E579" s="156" t="s">
        <v>134</v>
      </c>
      <c r="F579" s="124"/>
      <c r="G579" s="125"/>
      <c r="H579" s="33" t="str">
        <f t="shared" ref="H579:H581" si="550">IF(F579=0,"",0)</f>
        <v/>
      </c>
      <c r="I579" s="82" t="str">
        <f t="shared" ref="I579:I581" si="551">IF(F579=0,"",F579+(F579*H579))</f>
        <v/>
      </c>
      <c r="J579" s="34" t="str">
        <f t="shared" ref="J579:J581" si="552">IF(F579=0,"",0)</f>
        <v/>
      </c>
      <c r="K579" s="35" t="str">
        <f t="shared" ref="K579:K581" si="553">IF(F579=0,"",J579*I579)</f>
        <v/>
      </c>
      <c r="L579" s="36" t="str">
        <f t="shared" ref="L579:L581" si="554">IF(F579=0,"",L$14)</f>
        <v/>
      </c>
      <c r="M579" s="37" t="str">
        <f t="shared" ref="M579:M581" si="555">IF(F579=0,"",0)</f>
        <v/>
      </c>
      <c r="N579" s="37" t="str">
        <f t="shared" ref="N579:N581" si="556">IF(F579=0,"",M579*I579)</f>
        <v/>
      </c>
      <c r="O579" s="35" t="str">
        <f t="shared" ref="O579:O581" si="557">IF(F579=0,"",N579*L579)</f>
        <v/>
      </c>
      <c r="P579" s="38" t="str">
        <f t="shared" ref="P579:P581" si="558">IF(F579=0,"",K579+O579)</f>
        <v/>
      </c>
      <c r="Q579" s="39"/>
    </row>
    <row r="580" spans="1:17" x14ac:dyDescent="0.25">
      <c r="A580" s="122" t="str">
        <f>IF(TRIM(G580)&lt;&gt;"",COUNTA(G$9:$G580)&amp;"","")</f>
        <v>477</v>
      </c>
      <c r="B580" s="123" t="s">
        <v>536</v>
      </c>
      <c r="C580" s="123" t="s">
        <v>536</v>
      </c>
      <c r="D580" s="50"/>
      <c r="E580" s="199" t="s">
        <v>725</v>
      </c>
      <c r="F580" s="124">
        <v>1</v>
      </c>
      <c r="G580" s="200" t="s">
        <v>250</v>
      </c>
      <c r="H580" s="33">
        <f t="shared" si="550"/>
        <v>0</v>
      </c>
      <c r="I580" s="82">
        <f t="shared" si="551"/>
        <v>1</v>
      </c>
      <c r="J580" s="217">
        <f t="shared" si="552"/>
        <v>0</v>
      </c>
      <c r="K580" s="35">
        <f t="shared" si="553"/>
        <v>0</v>
      </c>
      <c r="L580" s="36">
        <f t="shared" si="554"/>
        <v>73.03</v>
      </c>
      <c r="M580" s="218">
        <f t="shared" si="555"/>
        <v>0</v>
      </c>
      <c r="N580" s="37">
        <f t="shared" si="556"/>
        <v>0</v>
      </c>
      <c r="O580" s="35">
        <f t="shared" si="557"/>
        <v>0</v>
      </c>
      <c r="P580" s="38">
        <f t="shared" si="558"/>
        <v>0</v>
      </c>
      <c r="Q580" s="2"/>
    </row>
    <row r="581" spans="1:17" ht="15.75" thickBot="1" x14ac:dyDescent="0.3">
      <c r="A581" s="122" t="str">
        <f>IF(TRIM(G581)&lt;&gt;"",COUNTA(G$9:$G581)&amp;"","")</f>
        <v/>
      </c>
      <c r="B581" s="126"/>
      <c r="C581" s="126"/>
      <c r="D581" s="50"/>
      <c r="E581" s="127"/>
      <c r="F581" s="124"/>
      <c r="G581" s="125"/>
      <c r="H581" s="33" t="str">
        <f t="shared" si="550"/>
        <v/>
      </c>
      <c r="I581" s="82" t="str">
        <f t="shared" si="551"/>
        <v/>
      </c>
      <c r="J581" s="34" t="str">
        <f t="shared" si="552"/>
        <v/>
      </c>
      <c r="K581" s="35" t="str">
        <f t="shared" si="553"/>
        <v/>
      </c>
      <c r="L581" s="36" t="str">
        <f t="shared" si="554"/>
        <v/>
      </c>
      <c r="M581" s="37" t="str">
        <f t="shared" si="555"/>
        <v/>
      </c>
      <c r="N581" s="37" t="str">
        <f t="shared" si="556"/>
        <v/>
      </c>
      <c r="O581" s="35" t="str">
        <f t="shared" si="557"/>
        <v/>
      </c>
      <c r="P581" s="38" t="str">
        <f t="shared" si="558"/>
        <v/>
      </c>
      <c r="Q581" s="2"/>
    </row>
    <row r="582" spans="1:17" s="3" customFormat="1" ht="16.5" thickBot="1" x14ac:dyDescent="0.3">
      <c r="A582" s="179" t="str">
        <f>IF(TRIM(G582)&lt;&gt;"",COUNTA(G$9:$G582)&amp;"","")</f>
        <v/>
      </c>
      <c r="B582" s="53"/>
      <c r="C582" s="53"/>
      <c r="D582" s="54"/>
      <c r="E582" s="29"/>
      <c r="F582" s="188"/>
      <c r="G582" s="189"/>
      <c r="H582" s="182" t="s">
        <v>12</v>
      </c>
      <c r="I582" s="183"/>
      <c r="J582" s="184">
        <f>SUM(K$579:K$581)</f>
        <v>0</v>
      </c>
      <c r="K582" s="415" t="s">
        <v>13</v>
      </c>
      <c r="L582" s="416"/>
      <c r="M582" s="185">
        <f>SUM(O$579:O$581)</f>
        <v>0</v>
      </c>
      <c r="N582" s="415" t="s">
        <v>43</v>
      </c>
      <c r="O582" s="416"/>
      <c r="P582" s="186">
        <f>SUM(N$579:N$581)</f>
        <v>0</v>
      </c>
      <c r="Q582" s="187">
        <f>SUM(P$579:P$581)</f>
        <v>0</v>
      </c>
    </row>
    <row r="583" spans="1:17" ht="30" customHeight="1" thickBot="1" x14ac:dyDescent="0.3">
      <c r="A583" s="173" t="str">
        <f>IF(TRIM(G583)&lt;&gt;"",COUNTA(G$9:$G583)&amp;"","")</f>
        <v/>
      </c>
      <c r="B583" s="177"/>
      <c r="C583" s="174"/>
      <c r="D583" s="174"/>
      <c r="E583" s="175" t="s">
        <v>246</v>
      </c>
      <c r="F583" s="176"/>
      <c r="G583" s="176"/>
      <c r="H583" s="177"/>
      <c r="I583" s="176"/>
      <c r="J583" s="177"/>
      <c r="K583" s="177"/>
      <c r="L583" s="172">
        <v>83</v>
      </c>
      <c r="M583" s="177"/>
      <c r="N583" s="177"/>
      <c r="O583" s="177"/>
      <c r="P583" s="177"/>
      <c r="Q583" s="178"/>
    </row>
    <row r="584" spans="1:17" ht="20.100000000000001" customHeight="1" x14ac:dyDescent="0.25">
      <c r="A584" s="153" t="str">
        <f>IF(TRIM(G584)&lt;&gt;"",COUNTA(G$9:$G584)&amp;"","")</f>
        <v/>
      </c>
      <c r="B584" s="31"/>
      <c r="C584" s="162" t="s">
        <v>192</v>
      </c>
      <c r="D584" s="165" t="s">
        <v>206</v>
      </c>
      <c r="E584" s="165" t="s">
        <v>210</v>
      </c>
      <c r="F584" s="78"/>
      <c r="G584" s="79"/>
      <c r="H584" s="31"/>
      <c r="I584" s="79"/>
      <c r="J584" s="31"/>
      <c r="K584" s="31"/>
      <c r="L584" s="31"/>
      <c r="M584" s="31"/>
      <c r="N584" s="31"/>
      <c r="O584" s="31"/>
      <c r="P584" s="31"/>
      <c r="Q584" s="155"/>
    </row>
    <row r="585" spans="1:17" x14ac:dyDescent="0.25">
      <c r="A585" s="122" t="str">
        <f>IF(TRIM(G585)&lt;&gt;"",COUNTA(G$9:$G585)&amp;"","")</f>
        <v/>
      </c>
      <c r="B585" s="123"/>
      <c r="C585" s="123"/>
      <c r="D585" s="50"/>
      <c r="E585" s="89"/>
      <c r="F585" s="124"/>
      <c r="G585" s="125"/>
      <c r="H585" s="33" t="str">
        <f t="shared" ref="H585:H634" si="559">IF(F585=0,"",0)</f>
        <v/>
      </c>
      <c r="I585" s="82" t="str">
        <f t="shared" ref="I585:I634" si="560">IF(F585=0,"",F585+(F585*H585))</f>
        <v/>
      </c>
      <c r="J585" s="34" t="str">
        <f t="shared" ref="J585:J634" si="561">IF(F585=0,"",0)</f>
        <v/>
      </c>
      <c r="K585" s="35" t="str">
        <f t="shared" ref="K585:K634" si="562">IF(F585=0,"",J585*I585)</f>
        <v/>
      </c>
      <c r="L585" s="36" t="str">
        <f>IF(F585=0,"",L$583)</f>
        <v/>
      </c>
      <c r="M585" s="37" t="str">
        <f t="shared" ref="M585:M634" si="563">IF(F585=0,"",0)</f>
        <v/>
      </c>
      <c r="N585" s="37" t="str">
        <f t="shared" ref="N585:N634" si="564">IF(F585=0,"",M585*I585)</f>
        <v/>
      </c>
      <c r="O585" s="35" t="str">
        <f t="shared" ref="O585:O634" si="565">IF(F585=0,"",N585*L585)</f>
        <v/>
      </c>
      <c r="P585" s="38" t="str">
        <f t="shared" ref="P585:P634" si="566">IF(F585=0,"",K585+O585)</f>
        <v/>
      </c>
      <c r="Q585" s="2"/>
    </row>
    <row r="586" spans="1:17" x14ac:dyDescent="0.25">
      <c r="A586" s="122" t="str">
        <f>IF(TRIM(G586)&lt;&gt;"",COUNTA(G$7:$G586)&amp;"","")</f>
        <v/>
      </c>
      <c r="B586" s="123"/>
      <c r="C586" s="123"/>
      <c r="D586" s="222"/>
      <c r="E586" s="223" t="s">
        <v>757</v>
      </c>
      <c r="F586" s="224"/>
      <c r="G586" s="125"/>
      <c r="H586" s="33" t="str">
        <f t="shared" si="559"/>
        <v/>
      </c>
      <c r="I586" s="82" t="str">
        <f t="shared" si="560"/>
        <v/>
      </c>
      <c r="J586" s="225" t="str">
        <f t="shared" si="561"/>
        <v/>
      </c>
      <c r="K586" s="35" t="str">
        <f t="shared" si="562"/>
        <v/>
      </c>
      <c r="L586" s="36" t="str">
        <f t="shared" ref="L586:L634" si="567">IF(F586=0,"",L$583)</f>
        <v/>
      </c>
      <c r="M586" s="37" t="str">
        <f t="shared" si="563"/>
        <v/>
      </c>
      <c r="N586" s="37" t="str">
        <f t="shared" si="564"/>
        <v/>
      </c>
      <c r="O586" s="35" t="str">
        <f t="shared" si="565"/>
        <v/>
      </c>
      <c r="P586" s="38" t="str">
        <f t="shared" si="566"/>
        <v/>
      </c>
      <c r="Q586" s="2"/>
    </row>
    <row r="587" spans="1:17" x14ac:dyDescent="0.25">
      <c r="A587" s="122" t="str">
        <f>IF(TRIM(G587)&lt;&gt;"",COUNTA(G$7:$G587)&amp;"","")</f>
        <v/>
      </c>
      <c r="B587" s="123"/>
      <c r="C587" s="123"/>
      <c r="D587" s="222"/>
      <c r="E587" s="226" t="s">
        <v>758</v>
      </c>
      <c r="F587" s="224"/>
      <c r="G587" s="125"/>
      <c r="H587" s="33" t="str">
        <f t="shared" si="559"/>
        <v/>
      </c>
      <c r="I587" s="82" t="str">
        <f t="shared" si="560"/>
        <v/>
      </c>
      <c r="J587" s="225" t="str">
        <f t="shared" si="561"/>
        <v/>
      </c>
      <c r="K587" s="35" t="str">
        <f t="shared" si="562"/>
        <v/>
      </c>
      <c r="L587" s="36" t="str">
        <f t="shared" si="567"/>
        <v/>
      </c>
      <c r="M587" s="37" t="str">
        <f t="shared" si="563"/>
        <v/>
      </c>
      <c r="N587" s="37" t="str">
        <f t="shared" si="564"/>
        <v/>
      </c>
      <c r="O587" s="35" t="str">
        <f t="shared" si="565"/>
        <v/>
      </c>
      <c r="P587" s="38" t="str">
        <f t="shared" si="566"/>
        <v/>
      </c>
      <c r="Q587" s="2"/>
    </row>
    <row r="588" spans="1:17" x14ac:dyDescent="0.25">
      <c r="A588" s="122" t="str">
        <f>IF(TRIM(G588)&lt;&gt;"",COUNTA(G$7:$G588)&amp;"","")</f>
        <v>478</v>
      </c>
      <c r="B588" s="123"/>
      <c r="C588" s="123"/>
      <c r="D588" s="222"/>
      <c r="E588" s="104" t="s">
        <v>759</v>
      </c>
      <c r="F588" s="224">
        <v>176.08</v>
      </c>
      <c r="G588" s="125" t="s">
        <v>228</v>
      </c>
      <c r="H588" s="33">
        <v>0.1</v>
      </c>
      <c r="I588" s="82">
        <f t="shared" si="560"/>
        <v>193.68800000000002</v>
      </c>
      <c r="J588" s="225">
        <v>8.18</v>
      </c>
      <c r="K588" s="35">
        <f t="shared" si="562"/>
        <v>1584.3678400000001</v>
      </c>
      <c r="L588" s="36">
        <f t="shared" si="567"/>
        <v>83</v>
      </c>
      <c r="M588" s="37">
        <v>0.151</v>
      </c>
      <c r="N588" s="37">
        <f t="shared" si="564"/>
        <v>29.246888000000002</v>
      </c>
      <c r="O588" s="35">
        <f t="shared" si="565"/>
        <v>2427.491704</v>
      </c>
      <c r="P588" s="38">
        <f t="shared" si="566"/>
        <v>4011.8595439999999</v>
      </c>
      <c r="Q588" s="2"/>
    </row>
    <row r="589" spans="1:17" x14ac:dyDescent="0.25">
      <c r="A589" s="122" t="str">
        <f>IF(TRIM(G589)&lt;&gt;"",COUNTA(G$7:$G589)&amp;"","")</f>
        <v>479</v>
      </c>
      <c r="B589" s="123"/>
      <c r="C589" s="123"/>
      <c r="D589" s="222"/>
      <c r="E589" s="220" t="s">
        <v>760</v>
      </c>
      <c r="F589" s="224">
        <v>573.15</v>
      </c>
      <c r="G589" s="125" t="s">
        <v>228</v>
      </c>
      <c r="H589" s="33">
        <v>0.1</v>
      </c>
      <c r="I589" s="82">
        <f t="shared" si="560"/>
        <v>630.46499999999992</v>
      </c>
      <c r="J589" s="225">
        <v>12.45</v>
      </c>
      <c r="K589" s="35">
        <f t="shared" si="562"/>
        <v>7849.2892499999989</v>
      </c>
      <c r="L589" s="36">
        <f t="shared" si="567"/>
        <v>83</v>
      </c>
      <c r="M589" s="37">
        <v>0.2</v>
      </c>
      <c r="N589" s="37">
        <f t="shared" si="564"/>
        <v>126.09299999999999</v>
      </c>
      <c r="O589" s="35">
        <f t="shared" si="565"/>
        <v>10465.718999999999</v>
      </c>
      <c r="P589" s="38">
        <f t="shared" si="566"/>
        <v>18315.008249999999</v>
      </c>
      <c r="Q589" s="2"/>
    </row>
    <row r="590" spans="1:17" x14ac:dyDescent="0.25">
      <c r="A590" s="122" t="str">
        <f>IF(TRIM(G590)&lt;&gt;"",COUNTA(G$7:$G590)&amp;"","")</f>
        <v>480</v>
      </c>
      <c r="B590" s="123"/>
      <c r="C590" s="123"/>
      <c r="D590" s="222"/>
      <c r="E590" s="220" t="s">
        <v>761</v>
      </c>
      <c r="F590" s="224">
        <v>10</v>
      </c>
      <c r="G590" s="125" t="s">
        <v>228</v>
      </c>
      <c r="H590" s="33">
        <v>0.1</v>
      </c>
      <c r="I590" s="82">
        <f t="shared" si="560"/>
        <v>11</v>
      </c>
      <c r="J590" s="225">
        <v>15.39</v>
      </c>
      <c r="K590" s="35">
        <f t="shared" si="562"/>
        <v>169.29000000000002</v>
      </c>
      <c r="L590" s="36">
        <f t="shared" si="567"/>
        <v>83</v>
      </c>
      <c r="M590" s="37">
        <v>0.25</v>
      </c>
      <c r="N590" s="37">
        <f t="shared" si="564"/>
        <v>2.75</v>
      </c>
      <c r="O590" s="35">
        <f t="shared" si="565"/>
        <v>228.25</v>
      </c>
      <c r="P590" s="38">
        <f t="shared" si="566"/>
        <v>397.54</v>
      </c>
      <c r="Q590" s="2"/>
    </row>
    <row r="591" spans="1:17" x14ac:dyDescent="0.25">
      <c r="A591" s="122" t="str">
        <f>IF(TRIM(G591)&lt;&gt;"",COUNTA(G$7:$G591)&amp;"","")</f>
        <v>481</v>
      </c>
      <c r="B591" s="123"/>
      <c r="C591" s="123"/>
      <c r="D591" s="222"/>
      <c r="E591" s="220" t="s">
        <v>762</v>
      </c>
      <c r="F591" s="224">
        <v>225.77</v>
      </c>
      <c r="G591" s="125" t="s">
        <v>228</v>
      </c>
      <c r="H591" s="33">
        <v>0.1</v>
      </c>
      <c r="I591" s="82">
        <f t="shared" si="560"/>
        <v>248.34700000000001</v>
      </c>
      <c r="J591" s="225">
        <v>34.92</v>
      </c>
      <c r="K591" s="35">
        <f t="shared" si="562"/>
        <v>8672.2772400000013</v>
      </c>
      <c r="L591" s="36">
        <f t="shared" si="567"/>
        <v>83</v>
      </c>
      <c r="M591" s="37">
        <v>0.372</v>
      </c>
      <c r="N591" s="37">
        <f t="shared" si="564"/>
        <v>92.385084000000006</v>
      </c>
      <c r="O591" s="35">
        <f t="shared" si="565"/>
        <v>7667.961972000001</v>
      </c>
      <c r="P591" s="38">
        <f t="shared" si="566"/>
        <v>16340.239212000002</v>
      </c>
      <c r="Q591" s="2"/>
    </row>
    <row r="592" spans="1:17" x14ac:dyDescent="0.25">
      <c r="A592" s="122" t="str">
        <f>IF(TRIM(G592)&lt;&gt;"",COUNTA(G$7:$G592)&amp;"","")</f>
        <v>482</v>
      </c>
      <c r="B592" s="123"/>
      <c r="C592" s="123"/>
      <c r="D592" s="222"/>
      <c r="E592" s="220" t="s">
        <v>763</v>
      </c>
      <c r="F592" s="224">
        <v>35.07</v>
      </c>
      <c r="G592" s="125" t="s">
        <v>228</v>
      </c>
      <c r="H592" s="33">
        <v>0.1</v>
      </c>
      <c r="I592" s="82">
        <f t="shared" si="560"/>
        <v>38.576999999999998</v>
      </c>
      <c r="J592" s="225">
        <v>53.3</v>
      </c>
      <c r="K592" s="35">
        <f t="shared" si="562"/>
        <v>2056.1540999999997</v>
      </c>
      <c r="L592" s="36">
        <f t="shared" si="567"/>
        <v>83</v>
      </c>
      <c r="M592" s="37">
        <v>0.44400000000000001</v>
      </c>
      <c r="N592" s="37">
        <f t="shared" si="564"/>
        <v>17.128187999999998</v>
      </c>
      <c r="O592" s="35">
        <f t="shared" si="565"/>
        <v>1421.6396039999997</v>
      </c>
      <c r="P592" s="38">
        <f t="shared" si="566"/>
        <v>3477.7937039999997</v>
      </c>
      <c r="Q592" s="2"/>
    </row>
    <row r="593" spans="1:17" x14ac:dyDescent="0.25">
      <c r="A593" s="122" t="str">
        <f>IF(TRIM(G593)&lt;&gt;"",COUNTA(G$7:$G593)&amp;"","")</f>
        <v/>
      </c>
      <c r="B593" s="123"/>
      <c r="C593" s="123"/>
      <c r="D593" s="222"/>
      <c r="E593" s="220"/>
      <c r="F593" s="224"/>
      <c r="G593" s="125"/>
      <c r="H593" s="33"/>
      <c r="I593" s="82" t="str">
        <f t="shared" si="560"/>
        <v/>
      </c>
      <c r="J593" s="225"/>
      <c r="K593" s="35" t="str">
        <f t="shared" si="562"/>
        <v/>
      </c>
      <c r="L593" s="36" t="str">
        <f t="shared" si="567"/>
        <v/>
      </c>
      <c r="M593" s="37"/>
      <c r="N593" s="37" t="str">
        <f t="shared" si="564"/>
        <v/>
      </c>
      <c r="O593" s="35" t="str">
        <f t="shared" si="565"/>
        <v/>
      </c>
      <c r="P593" s="38" t="str">
        <f t="shared" si="566"/>
        <v/>
      </c>
      <c r="Q593" s="2"/>
    </row>
    <row r="594" spans="1:17" x14ac:dyDescent="0.25">
      <c r="A594" s="122" t="str">
        <f>IF(TRIM(G594)&lt;&gt;"",COUNTA(G$7:$G594)&amp;"","")</f>
        <v/>
      </c>
      <c r="B594" s="123"/>
      <c r="C594" s="123"/>
      <c r="D594" s="222"/>
      <c r="E594" s="226" t="s">
        <v>764</v>
      </c>
      <c r="F594" s="224"/>
      <c r="G594" s="125"/>
      <c r="H594" s="33"/>
      <c r="I594" s="82" t="str">
        <f t="shared" si="560"/>
        <v/>
      </c>
      <c r="J594" s="225"/>
      <c r="K594" s="35" t="str">
        <f t="shared" si="562"/>
        <v/>
      </c>
      <c r="L594" s="36" t="str">
        <f t="shared" si="567"/>
        <v/>
      </c>
      <c r="M594" s="37"/>
      <c r="N594" s="37" t="str">
        <f t="shared" si="564"/>
        <v/>
      </c>
      <c r="O594" s="35" t="str">
        <f t="shared" si="565"/>
        <v/>
      </c>
      <c r="P594" s="38" t="str">
        <f t="shared" si="566"/>
        <v/>
      </c>
      <c r="Q594" s="2"/>
    </row>
    <row r="595" spans="1:17" x14ac:dyDescent="0.25">
      <c r="A595" s="122" t="str">
        <f>IF(TRIM(G595)&lt;&gt;"",COUNTA(G$7:$G595)&amp;"","")</f>
        <v>483</v>
      </c>
      <c r="B595" s="123"/>
      <c r="C595" s="123"/>
      <c r="D595" s="222"/>
      <c r="E595" s="220" t="s">
        <v>765</v>
      </c>
      <c r="F595" s="224">
        <v>7</v>
      </c>
      <c r="G595" s="125" t="s">
        <v>250</v>
      </c>
      <c r="H595" s="33">
        <v>0</v>
      </c>
      <c r="I595" s="82">
        <f t="shared" si="560"/>
        <v>7</v>
      </c>
      <c r="J595" s="225">
        <v>14.84</v>
      </c>
      <c r="K595" s="35">
        <f t="shared" si="562"/>
        <v>103.88</v>
      </c>
      <c r="L595" s="36">
        <f t="shared" si="567"/>
        <v>83</v>
      </c>
      <c r="M595" s="37">
        <v>0.61499999999999999</v>
      </c>
      <c r="N595" s="37">
        <f t="shared" si="564"/>
        <v>4.3049999999999997</v>
      </c>
      <c r="O595" s="35">
        <f t="shared" si="565"/>
        <v>357.315</v>
      </c>
      <c r="P595" s="38">
        <f t="shared" si="566"/>
        <v>461.19499999999999</v>
      </c>
      <c r="Q595" s="2"/>
    </row>
    <row r="596" spans="1:17" x14ac:dyDescent="0.25">
      <c r="A596" s="122" t="str">
        <f>IF(TRIM(G596)&lt;&gt;"",COUNTA(G$7:$G596)&amp;"","")</f>
        <v>484</v>
      </c>
      <c r="B596" s="123"/>
      <c r="C596" s="123"/>
      <c r="D596" s="222"/>
      <c r="E596" s="220" t="s">
        <v>766</v>
      </c>
      <c r="F596" s="224">
        <v>8</v>
      </c>
      <c r="G596" s="125" t="s">
        <v>250</v>
      </c>
      <c r="H596" s="33">
        <v>0</v>
      </c>
      <c r="I596" s="82">
        <f>IF(F596=0,"",F596+(F596*H596))</f>
        <v>8</v>
      </c>
      <c r="J596" s="225">
        <v>32.619999999999997</v>
      </c>
      <c r="K596" s="35">
        <f>IF(F596=0,"",J596*I596)</f>
        <v>260.95999999999998</v>
      </c>
      <c r="L596" s="36">
        <f t="shared" si="567"/>
        <v>83</v>
      </c>
      <c r="M596" s="37">
        <v>0.8</v>
      </c>
      <c r="N596" s="37">
        <f>IF(F596=0,"",M596*I596)</f>
        <v>6.4</v>
      </c>
      <c r="O596" s="35">
        <f>IF(F596=0,"",N596*L596)</f>
        <v>531.20000000000005</v>
      </c>
      <c r="P596" s="38">
        <f>IF(F596=0,"",K596+O596)</f>
        <v>792.16000000000008</v>
      </c>
      <c r="Q596" s="2"/>
    </row>
    <row r="597" spans="1:17" x14ac:dyDescent="0.25">
      <c r="A597" s="122" t="str">
        <f>IF(TRIM(G597)&lt;&gt;"",COUNTA(G$7:$G597)&amp;"","")</f>
        <v>485</v>
      </c>
      <c r="B597" s="123"/>
      <c r="C597" s="123"/>
      <c r="D597" s="222"/>
      <c r="E597" s="220" t="s">
        <v>767</v>
      </c>
      <c r="F597" s="224">
        <v>2</v>
      </c>
      <c r="G597" s="125" t="s">
        <v>250</v>
      </c>
      <c r="H597" s="33">
        <v>0</v>
      </c>
      <c r="I597" s="82">
        <f t="shared" si="560"/>
        <v>2</v>
      </c>
      <c r="J597" s="225">
        <v>12.13</v>
      </c>
      <c r="K597" s="35">
        <f t="shared" si="562"/>
        <v>24.26</v>
      </c>
      <c r="L597" s="36">
        <f t="shared" si="567"/>
        <v>83</v>
      </c>
      <c r="M597" s="37">
        <v>0.61499999999999999</v>
      </c>
      <c r="N597" s="37">
        <f t="shared" si="564"/>
        <v>1.23</v>
      </c>
      <c r="O597" s="35">
        <f t="shared" si="565"/>
        <v>102.09</v>
      </c>
      <c r="P597" s="38">
        <f t="shared" si="566"/>
        <v>126.35000000000001</v>
      </c>
      <c r="Q597" s="2"/>
    </row>
    <row r="598" spans="1:17" x14ac:dyDescent="0.25">
      <c r="A598" s="122" t="str">
        <f>IF(TRIM(G598)&lt;&gt;"",COUNTA(G$7:$G598)&amp;"","")</f>
        <v>486</v>
      </c>
      <c r="B598" s="123"/>
      <c r="C598" s="123"/>
      <c r="D598" s="222"/>
      <c r="E598" s="220" t="s">
        <v>768</v>
      </c>
      <c r="F598" s="224">
        <v>5</v>
      </c>
      <c r="G598" s="125" t="s">
        <v>250</v>
      </c>
      <c r="H598" s="33">
        <v>0</v>
      </c>
      <c r="I598" s="82">
        <f t="shared" si="560"/>
        <v>5</v>
      </c>
      <c r="J598" s="225">
        <v>26.19</v>
      </c>
      <c r="K598" s="35">
        <f t="shared" si="562"/>
        <v>130.95000000000002</v>
      </c>
      <c r="L598" s="36">
        <f t="shared" si="567"/>
        <v>83</v>
      </c>
      <c r="M598" s="37">
        <v>0.8</v>
      </c>
      <c r="N598" s="37">
        <f t="shared" si="564"/>
        <v>4</v>
      </c>
      <c r="O598" s="35">
        <f t="shared" si="565"/>
        <v>332</v>
      </c>
      <c r="P598" s="38">
        <f t="shared" si="566"/>
        <v>462.95000000000005</v>
      </c>
      <c r="Q598" s="2"/>
    </row>
    <row r="599" spans="1:17" x14ac:dyDescent="0.25">
      <c r="A599" s="122" t="str">
        <f>IF(TRIM(G599)&lt;&gt;"",COUNTA(G$7:$G599)&amp;"","")</f>
        <v>487</v>
      </c>
      <c r="B599" s="123"/>
      <c r="C599" s="123"/>
      <c r="D599" s="222"/>
      <c r="E599" s="220" t="s">
        <v>769</v>
      </c>
      <c r="F599" s="224">
        <v>1</v>
      </c>
      <c r="G599" s="125" t="s">
        <v>250</v>
      </c>
      <c r="H599" s="33">
        <v>0</v>
      </c>
      <c r="I599" s="82">
        <f t="shared" si="560"/>
        <v>1</v>
      </c>
      <c r="J599" s="225">
        <v>45.49</v>
      </c>
      <c r="K599" s="35">
        <f t="shared" si="562"/>
        <v>45.49</v>
      </c>
      <c r="L599" s="36">
        <f t="shared" si="567"/>
        <v>83</v>
      </c>
      <c r="M599" s="37">
        <v>0.88900000000000001</v>
      </c>
      <c r="N599" s="37">
        <f t="shared" si="564"/>
        <v>0.88900000000000001</v>
      </c>
      <c r="O599" s="35">
        <f t="shared" si="565"/>
        <v>73.787000000000006</v>
      </c>
      <c r="P599" s="38">
        <f t="shared" si="566"/>
        <v>119.27700000000002</v>
      </c>
      <c r="Q599" s="2"/>
    </row>
    <row r="600" spans="1:17" x14ac:dyDescent="0.25">
      <c r="A600" s="122" t="str">
        <f>IF(TRIM(G600)&lt;&gt;"",COUNTA(G$7:$G600)&amp;"","")</f>
        <v>488</v>
      </c>
      <c r="B600" s="123"/>
      <c r="C600" s="123"/>
      <c r="D600" s="222"/>
      <c r="E600" s="220" t="s">
        <v>770</v>
      </c>
      <c r="F600" s="224">
        <v>3</v>
      </c>
      <c r="G600" s="125" t="s">
        <v>250</v>
      </c>
      <c r="H600" s="33">
        <v>0</v>
      </c>
      <c r="I600" s="82">
        <f t="shared" si="560"/>
        <v>3</v>
      </c>
      <c r="J600" s="225">
        <v>147.96</v>
      </c>
      <c r="K600" s="35">
        <f t="shared" si="562"/>
        <v>443.88</v>
      </c>
      <c r="L600" s="36">
        <f t="shared" si="567"/>
        <v>83</v>
      </c>
      <c r="M600" s="37">
        <v>1.6</v>
      </c>
      <c r="N600" s="37">
        <f t="shared" si="564"/>
        <v>4.8000000000000007</v>
      </c>
      <c r="O600" s="35">
        <f t="shared" si="565"/>
        <v>398.40000000000003</v>
      </c>
      <c r="P600" s="38">
        <f t="shared" si="566"/>
        <v>842.28</v>
      </c>
      <c r="Q600" s="2"/>
    </row>
    <row r="601" spans="1:17" x14ac:dyDescent="0.25">
      <c r="A601" s="122" t="str">
        <f>IF(TRIM(G601)&lt;&gt;"",COUNTA(G$7:$G601)&amp;"","")</f>
        <v>489</v>
      </c>
      <c r="B601" s="123"/>
      <c r="C601" s="123"/>
      <c r="D601" s="222"/>
      <c r="E601" s="220" t="s">
        <v>771</v>
      </c>
      <c r="F601" s="224">
        <v>4</v>
      </c>
      <c r="G601" s="125" t="s">
        <v>250</v>
      </c>
      <c r="H601" s="33">
        <v>0</v>
      </c>
      <c r="I601" s="82">
        <f t="shared" si="560"/>
        <v>4</v>
      </c>
      <c r="J601" s="225">
        <v>317.06</v>
      </c>
      <c r="K601" s="35">
        <f t="shared" si="562"/>
        <v>1268.24</v>
      </c>
      <c r="L601" s="36">
        <f t="shared" si="567"/>
        <v>83</v>
      </c>
      <c r="M601" s="37">
        <v>2.6669999999999998</v>
      </c>
      <c r="N601" s="37">
        <f t="shared" si="564"/>
        <v>10.667999999999999</v>
      </c>
      <c r="O601" s="35">
        <f t="shared" si="565"/>
        <v>885.44399999999996</v>
      </c>
      <c r="P601" s="38">
        <f t="shared" si="566"/>
        <v>2153.6840000000002</v>
      </c>
      <c r="Q601" s="2"/>
    </row>
    <row r="602" spans="1:17" x14ac:dyDescent="0.25">
      <c r="A602" s="122" t="str">
        <f>IF(TRIM(G602)&lt;&gt;"",COUNTA(G$7:$G602)&amp;"","")</f>
        <v>490</v>
      </c>
      <c r="B602" s="123"/>
      <c r="C602" s="123"/>
      <c r="D602" s="222"/>
      <c r="E602" s="220" t="s">
        <v>772</v>
      </c>
      <c r="F602" s="224">
        <v>2</v>
      </c>
      <c r="G602" s="125" t="s">
        <v>250</v>
      </c>
      <c r="H602" s="33">
        <v>0</v>
      </c>
      <c r="I602" s="82">
        <f t="shared" si="560"/>
        <v>2</v>
      </c>
      <c r="J602" s="225">
        <v>18.84</v>
      </c>
      <c r="K602" s="35">
        <f t="shared" si="562"/>
        <v>37.68</v>
      </c>
      <c r="L602" s="36">
        <f t="shared" si="567"/>
        <v>83</v>
      </c>
      <c r="M602" s="37">
        <v>1</v>
      </c>
      <c r="N602" s="37">
        <f t="shared" si="564"/>
        <v>2</v>
      </c>
      <c r="O602" s="35">
        <f t="shared" si="565"/>
        <v>166</v>
      </c>
      <c r="P602" s="38">
        <f t="shared" si="566"/>
        <v>203.68</v>
      </c>
      <c r="Q602" s="2"/>
    </row>
    <row r="603" spans="1:17" x14ac:dyDescent="0.25">
      <c r="A603" s="122" t="str">
        <f>IF(TRIM(G603)&lt;&gt;"",COUNTA(G$7:$G603)&amp;"","")</f>
        <v>491</v>
      </c>
      <c r="B603" s="123"/>
      <c r="C603" s="123"/>
      <c r="D603" s="222"/>
      <c r="E603" s="220" t="s">
        <v>773</v>
      </c>
      <c r="F603" s="224">
        <v>1</v>
      </c>
      <c r="G603" s="125" t="s">
        <v>250</v>
      </c>
      <c r="H603" s="33">
        <v>0</v>
      </c>
      <c r="I603" s="82">
        <f t="shared" si="560"/>
        <v>1</v>
      </c>
      <c r="J603" s="225">
        <v>38.14</v>
      </c>
      <c r="K603" s="35">
        <f t="shared" si="562"/>
        <v>38.14</v>
      </c>
      <c r="L603" s="36">
        <f t="shared" si="567"/>
        <v>83</v>
      </c>
      <c r="M603" s="37">
        <v>1.2310000000000001</v>
      </c>
      <c r="N603" s="37">
        <f t="shared" si="564"/>
        <v>1.2310000000000001</v>
      </c>
      <c r="O603" s="35">
        <f t="shared" si="565"/>
        <v>102.173</v>
      </c>
      <c r="P603" s="38">
        <f t="shared" si="566"/>
        <v>140.31299999999999</v>
      </c>
      <c r="Q603" s="2"/>
    </row>
    <row r="604" spans="1:17" x14ac:dyDescent="0.25">
      <c r="A604" s="122" t="str">
        <f>IF(TRIM(G604)&lt;&gt;"",COUNTA(G$7:$G604)&amp;"","")</f>
        <v>492</v>
      </c>
      <c r="B604" s="123"/>
      <c r="C604" s="123"/>
      <c r="D604" s="222"/>
      <c r="E604" s="220" t="s">
        <v>774</v>
      </c>
      <c r="F604" s="224">
        <v>95</v>
      </c>
      <c r="G604" s="125" t="s">
        <v>250</v>
      </c>
      <c r="H604" s="33">
        <v>0</v>
      </c>
      <c r="I604" s="82">
        <f t="shared" si="560"/>
        <v>95</v>
      </c>
      <c r="J604" s="225">
        <v>40.229999999999997</v>
      </c>
      <c r="K604" s="35">
        <f t="shared" si="562"/>
        <v>3821.85</v>
      </c>
      <c r="L604" s="36">
        <f t="shared" si="567"/>
        <v>83</v>
      </c>
      <c r="M604" s="37">
        <v>1.1399999999999999</v>
      </c>
      <c r="N604" s="37">
        <f t="shared" si="564"/>
        <v>108.3</v>
      </c>
      <c r="O604" s="35">
        <f t="shared" si="565"/>
        <v>8988.9</v>
      </c>
      <c r="P604" s="38">
        <f t="shared" si="566"/>
        <v>12810.75</v>
      </c>
      <c r="Q604" s="2"/>
    </row>
    <row r="605" spans="1:17" x14ac:dyDescent="0.25">
      <c r="A605" s="122" t="str">
        <f>IF(TRIM(G605)&lt;&gt;"",COUNTA(G$7:$G605)&amp;"","")</f>
        <v>493</v>
      </c>
      <c r="B605" s="123"/>
      <c r="C605" s="123"/>
      <c r="D605" s="222"/>
      <c r="E605" s="220" t="s">
        <v>775</v>
      </c>
      <c r="F605" s="224">
        <v>1</v>
      </c>
      <c r="G605" s="125" t="s">
        <v>250</v>
      </c>
      <c r="H605" s="33">
        <v>0</v>
      </c>
      <c r="I605" s="82">
        <f t="shared" si="560"/>
        <v>1</v>
      </c>
      <c r="J605" s="225">
        <v>206.78</v>
      </c>
      <c r="K605" s="35">
        <f t="shared" si="562"/>
        <v>206.78</v>
      </c>
      <c r="L605" s="36">
        <f t="shared" si="567"/>
        <v>83</v>
      </c>
      <c r="M605" s="37">
        <v>2.6669999999999998</v>
      </c>
      <c r="N605" s="37">
        <f t="shared" si="564"/>
        <v>2.6669999999999998</v>
      </c>
      <c r="O605" s="35">
        <f t="shared" si="565"/>
        <v>221.36099999999999</v>
      </c>
      <c r="P605" s="38">
        <f t="shared" si="566"/>
        <v>428.14099999999996</v>
      </c>
      <c r="Q605" s="2"/>
    </row>
    <row r="606" spans="1:17" x14ac:dyDescent="0.25">
      <c r="A606" s="122" t="str">
        <f>IF(TRIM(G606)&lt;&gt;"",COUNTA(G$7:$G606)&amp;"","")</f>
        <v>494</v>
      </c>
      <c r="B606" s="123"/>
      <c r="C606" s="123"/>
      <c r="D606" s="222"/>
      <c r="E606" s="220" t="s">
        <v>776</v>
      </c>
      <c r="F606" s="224">
        <v>1</v>
      </c>
      <c r="G606" s="125" t="s">
        <v>250</v>
      </c>
      <c r="H606" s="33">
        <v>0</v>
      </c>
      <c r="I606" s="82">
        <f t="shared" si="560"/>
        <v>1</v>
      </c>
      <c r="J606" s="225">
        <v>210.23</v>
      </c>
      <c r="K606" s="35">
        <f t="shared" si="562"/>
        <v>210.23</v>
      </c>
      <c r="L606" s="36">
        <f t="shared" si="567"/>
        <v>83</v>
      </c>
      <c r="M606" s="37">
        <v>1.95</v>
      </c>
      <c r="N606" s="37">
        <f t="shared" si="564"/>
        <v>1.95</v>
      </c>
      <c r="O606" s="35">
        <f t="shared" si="565"/>
        <v>161.85</v>
      </c>
      <c r="P606" s="38">
        <f t="shared" si="566"/>
        <v>372.08</v>
      </c>
      <c r="Q606" s="2"/>
    </row>
    <row r="607" spans="1:17" x14ac:dyDescent="0.25">
      <c r="A607" s="122" t="str">
        <f>IF(TRIM(G607)&lt;&gt;"",COUNTA(G$7:$G607)&amp;"","")</f>
        <v>495</v>
      </c>
      <c r="B607" s="123"/>
      <c r="C607" s="123"/>
      <c r="D607" s="222"/>
      <c r="E607" s="220" t="s">
        <v>777</v>
      </c>
      <c r="F607" s="224">
        <v>24</v>
      </c>
      <c r="G607" s="125" t="s">
        <v>250</v>
      </c>
      <c r="H607" s="33">
        <v>0</v>
      </c>
      <c r="I607" s="82">
        <f t="shared" si="560"/>
        <v>24</v>
      </c>
      <c r="J607" s="225">
        <v>215.36</v>
      </c>
      <c r="K607" s="35">
        <f t="shared" si="562"/>
        <v>5168.6400000000003</v>
      </c>
      <c r="L607" s="36">
        <f t="shared" si="567"/>
        <v>83</v>
      </c>
      <c r="M607" s="37">
        <v>2.2000000000000002</v>
      </c>
      <c r="N607" s="37">
        <f t="shared" si="564"/>
        <v>52.800000000000004</v>
      </c>
      <c r="O607" s="35">
        <f t="shared" si="565"/>
        <v>4382.4000000000005</v>
      </c>
      <c r="P607" s="38">
        <f t="shared" si="566"/>
        <v>9551.0400000000009</v>
      </c>
      <c r="Q607" s="2"/>
    </row>
    <row r="608" spans="1:17" x14ac:dyDescent="0.25">
      <c r="A608" s="122" t="str">
        <f>IF(TRIM(G608)&lt;&gt;"",COUNTA(G$7:$G608)&amp;"","")</f>
        <v>496</v>
      </c>
      <c r="B608" s="123"/>
      <c r="C608" s="123"/>
      <c r="D608" s="222"/>
      <c r="E608" s="220" t="s">
        <v>778</v>
      </c>
      <c r="F608" s="224">
        <v>1</v>
      </c>
      <c r="G608" s="125" t="s">
        <v>250</v>
      </c>
      <c r="H608" s="33">
        <v>0</v>
      </c>
      <c r="I608" s="82">
        <f t="shared" si="560"/>
        <v>1</v>
      </c>
      <c r="J608" s="225">
        <v>365.29</v>
      </c>
      <c r="K608" s="35">
        <f t="shared" si="562"/>
        <v>365.29</v>
      </c>
      <c r="L608" s="36">
        <f t="shared" si="567"/>
        <v>83</v>
      </c>
      <c r="M608" s="37">
        <v>3.67</v>
      </c>
      <c r="N608" s="37">
        <f t="shared" si="564"/>
        <v>3.67</v>
      </c>
      <c r="O608" s="35">
        <f t="shared" si="565"/>
        <v>304.61</v>
      </c>
      <c r="P608" s="38">
        <f t="shared" si="566"/>
        <v>669.90000000000009</v>
      </c>
      <c r="Q608" s="2"/>
    </row>
    <row r="609" spans="1:17" x14ac:dyDescent="0.25">
      <c r="A609" s="122" t="str">
        <f>IF(TRIM(G609)&lt;&gt;"",COUNTA(G$7:$G609)&amp;"","")</f>
        <v>497</v>
      </c>
      <c r="B609" s="123"/>
      <c r="C609" s="123"/>
      <c r="D609" s="222"/>
      <c r="E609" s="220" t="s">
        <v>779</v>
      </c>
      <c r="F609" s="224">
        <v>1</v>
      </c>
      <c r="G609" s="125" t="s">
        <v>250</v>
      </c>
      <c r="H609" s="33">
        <v>0</v>
      </c>
      <c r="I609" s="82">
        <f t="shared" si="560"/>
        <v>1</v>
      </c>
      <c r="J609" s="225">
        <v>400.86</v>
      </c>
      <c r="K609" s="35">
        <f t="shared" si="562"/>
        <v>400.86</v>
      </c>
      <c r="L609" s="36">
        <f t="shared" si="567"/>
        <v>83</v>
      </c>
      <c r="M609" s="37">
        <v>4</v>
      </c>
      <c r="N609" s="37">
        <f t="shared" si="564"/>
        <v>4</v>
      </c>
      <c r="O609" s="35">
        <f t="shared" si="565"/>
        <v>332</v>
      </c>
      <c r="P609" s="38">
        <f t="shared" si="566"/>
        <v>732.86</v>
      </c>
      <c r="Q609" s="2"/>
    </row>
    <row r="610" spans="1:17" x14ac:dyDescent="0.25">
      <c r="A610" s="122" t="str">
        <f>IF(TRIM(G610)&lt;&gt;"",COUNTA(G$7:$G610)&amp;"","")</f>
        <v>498</v>
      </c>
      <c r="B610" s="123"/>
      <c r="C610" s="123"/>
      <c r="D610" s="222"/>
      <c r="E610" s="220" t="s">
        <v>780</v>
      </c>
      <c r="F610" s="224">
        <v>2</v>
      </c>
      <c r="G610" s="125" t="s">
        <v>250</v>
      </c>
      <c r="H610" s="33">
        <v>0</v>
      </c>
      <c r="I610" s="82">
        <f t="shared" si="560"/>
        <v>2</v>
      </c>
      <c r="J610" s="225">
        <v>450.29</v>
      </c>
      <c r="K610" s="35">
        <f t="shared" si="562"/>
        <v>900.58</v>
      </c>
      <c r="L610" s="36">
        <f t="shared" si="567"/>
        <v>83</v>
      </c>
      <c r="M610" s="37">
        <v>4.5</v>
      </c>
      <c r="N610" s="37">
        <f t="shared" si="564"/>
        <v>9</v>
      </c>
      <c r="O610" s="35">
        <f t="shared" si="565"/>
        <v>747</v>
      </c>
      <c r="P610" s="38">
        <f t="shared" si="566"/>
        <v>1647.58</v>
      </c>
      <c r="Q610" s="2"/>
    </row>
    <row r="611" spans="1:17" x14ac:dyDescent="0.25">
      <c r="A611" s="122" t="str">
        <f>IF(TRIM(G611)&lt;&gt;"",COUNTA(G$7:$G611)&amp;"","")</f>
        <v>499</v>
      </c>
      <c r="B611" s="123"/>
      <c r="C611" s="123"/>
      <c r="D611" s="222"/>
      <c r="E611" s="220" t="s">
        <v>781</v>
      </c>
      <c r="F611" s="224">
        <v>22</v>
      </c>
      <c r="G611" s="125" t="s">
        <v>250</v>
      </c>
      <c r="H611" s="33">
        <v>0</v>
      </c>
      <c r="I611" s="82">
        <f t="shared" si="560"/>
        <v>22</v>
      </c>
      <c r="J611" s="225">
        <v>17.32</v>
      </c>
      <c r="K611" s="35">
        <f t="shared" si="562"/>
        <v>381.04</v>
      </c>
      <c r="L611" s="36">
        <f t="shared" si="567"/>
        <v>83</v>
      </c>
      <c r="M611" s="37">
        <v>0.33300000000000002</v>
      </c>
      <c r="N611" s="37">
        <f t="shared" si="564"/>
        <v>7.3260000000000005</v>
      </c>
      <c r="O611" s="35">
        <f t="shared" si="565"/>
        <v>608.05799999999999</v>
      </c>
      <c r="P611" s="38">
        <f t="shared" si="566"/>
        <v>989.09799999999996</v>
      </c>
      <c r="Q611" s="2"/>
    </row>
    <row r="612" spans="1:17" x14ac:dyDescent="0.25">
      <c r="A612" s="122" t="str">
        <f>IF(TRIM(G612)&lt;&gt;"",COUNTA(G$7:$G612)&amp;"","")</f>
        <v>500</v>
      </c>
      <c r="B612" s="123"/>
      <c r="C612" s="123"/>
      <c r="D612" s="222"/>
      <c r="E612" s="220" t="s">
        <v>782</v>
      </c>
      <c r="F612" s="224">
        <v>4</v>
      </c>
      <c r="G612" s="125" t="s">
        <v>250</v>
      </c>
      <c r="H612" s="33">
        <v>0</v>
      </c>
      <c r="I612" s="82">
        <f t="shared" si="560"/>
        <v>4</v>
      </c>
      <c r="J612" s="225">
        <v>35.270000000000003</v>
      </c>
      <c r="K612" s="35">
        <f t="shared" si="562"/>
        <v>141.08000000000001</v>
      </c>
      <c r="L612" s="36">
        <f t="shared" si="567"/>
        <v>83</v>
      </c>
      <c r="M612" s="37">
        <v>0.44400000000000001</v>
      </c>
      <c r="N612" s="37">
        <f t="shared" si="564"/>
        <v>1.776</v>
      </c>
      <c r="O612" s="35">
        <f t="shared" si="565"/>
        <v>147.40800000000002</v>
      </c>
      <c r="P612" s="38">
        <f t="shared" si="566"/>
        <v>288.48800000000006</v>
      </c>
      <c r="Q612" s="2"/>
    </row>
    <row r="613" spans="1:17" x14ac:dyDescent="0.25">
      <c r="A613" s="122" t="str">
        <f>IF(TRIM(G613)&lt;&gt;"",COUNTA(G$7:$G613)&amp;"","")</f>
        <v>501</v>
      </c>
      <c r="B613" s="123"/>
      <c r="C613" s="123"/>
      <c r="D613" s="222"/>
      <c r="E613" s="220" t="s">
        <v>783</v>
      </c>
      <c r="F613" s="224">
        <v>3</v>
      </c>
      <c r="G613" s="125" t="s">
        <v>250</v>
      </c>
      <c r="H613" s="33">
        <v>0</v>
      </c>
      <c r="I613" s="82">
        <f t="shared" si="560"/>
        <v>3</v>
      </c>
      <c r="J613" s="225">
        <v>59.99</v>
      </c>
      <c r="K613" s="35">
        <f t="shared" si="562"/>
        <v>179.97</v>
      </c>
      <c r="L613" s="36">
        <f t="shared" si="567"/>
        <v>83</v>
      </c>
      <c r="M613" s="37">
        <v>0.87</v>
      </c>
      <c r="N613" s="37">
        <f t="shared" si="564"/>
        <v>2.61</v>
      </c>
      <c r="O613" s="35">
        <f t="shared" si="565"/>
        <v>216.63</v>
      </c>
      <c r="P613" s="38">
        <f t="shared" si="566"/>
        <v>396.6</v>
      </c>
      <c r="Q613" s="2"/>
    </row>
    <row r="614" spans="1:17" x14ac:dyDescent="0.25">
      <c r="A614" s="122" t="str">
        <f>IF(TRIM(G614)&lt;&gt;"",COUNTA(G$7:$G614)&amp;"","")</f>
        <v>502</v>
      </c>
      <c r="B614" s="123"/>
      <c r="C614" s="123"/>
      <c r="D614" s="222"/>
      <c r="E614" s="220" t="s">
        <v>784</v>
      </c>
      <c r="F614" s="224">
        <v>1</v>
      </c>
      <c r="G614" s="125" t="s">
        <v>250</v>
      </c>
      <c r="H614" s="33">
        <v>0</v>
      </c>
      <c r="I614" s="82">
        <f t="shared" si="560"/>
        <v>1</v>
      </c>
      <c r="J614" s="225">
        <v>436.53</v>
      </c>
      <c r="K614" s="35">
        <f t="shared" si="562"/>
        <v>436.53</v>
      </c>
      <c r="L614" s="36">
        <f t="shared" si="567"/>
        <v>83</v>
      </c>
      <c r="M614" s="37">
        <v>1.333</v>
      </c>
      <c r="N614" s="37">
        <f t="shared" si="564"/>
        <v>1.333</v>
      </c>
      <c r="O614" s="35">
        <f t="shared" si="565"/>
        <v>110.639</v>
      </c>
      <c r="P614" s="38">
        <f t="shared" si="566"/>
        <v>547.16899999999998</v>
      </c>
      <c r="Q614" s="2"/>
    </row>
    <row r="615" spans="1:17" x14ac:dyDescent="0.25">
      <c r="A615" s="122" t="str">
        <f>IF(TRIM(G615)&lt;&gt;"",COUNTA(G$7:$G615)&amp;"","")</f>
        <v/>
      </c>
      <c r="B615" s="123"/>
      <c r="C615" s="123"/>
      <c r="D615" s="222"/>
      <c r="E615" s="104"/>
      <c r="F615" s="224"/>
      <c r="G615" s="125"/>
      <c r="H615" s="33"/>
      <c r="I615" s="82" t="str">
        <f t="shared" si="560"/>
        <v/>
      </c>
      <c r="J615" s="225"/>
      <c r="K615" s="35" t="str">
        <f t="shared" si="562"/>
        <v/>
      </c>
      <c r="L615" s="36" t="str">
        <f t="shared" si="567"/>
        <v/>
      </c>
      <c r="M615" s="37"/>
      <c r="N615" s="37" t="str">
        <f t="shared" si="564"/>
        <v/>
      </c>
      <c r="O615" s="35" t="str">
        <f t="shared" si="565"/>
        <v/>
      </c>
      <c r="P615" s="38" t="str">
        <f t="shared" si="566"/>
        <v/>
      </c>
      <c r="Q615" s="2"/>
    </row>
    <row r="616" spans="1:17" x14ac:dyDescent="0.25">
      <c r="A616" s="122" t="str">
        <f>IF(TRIM(G616)&lt;&gt;"",COUNTA(G$7:$G616)&amp;"","")</f>
        <v/>
      </c>
      <c r="B616" s="123"/>
      <c r="C616" s="123"/>
      <c r="D616" s="222"/>
      <c r="E616" s="226" t="s">
        <v>785</v>
      </c>
      <c r="F616" s="224"/>
      <c r="G616" s="125"/>
      <c r="H616" s="33"/>
      <c r="I616" s="82" t="str">
        <f t="shared" si="560"/>
        <v/>
      </c>
      <c r="J616" s="225"/>
      <c r="K616" s="35" t="str">
        <f t="shared" si="562"/>
        <v/>
      </c>
      <c r="L616" s="36" t="str">
        <f t="shared" si="567"/>
        <v/>
      </c>
      <c r="M616" s="37"/>
      <c r="N616" s="37" t="str">
        <f t="shared" si="564"/>
        <v/>
      </c>
      <c r="O616" s="35" t="str">
        <f t="shared" si="565"/>
        <v/>
      </c>
      <c r="P616" s="38" t="str">
        <f t="shared" si="566"/>
        <v/>
      </c>
      <c r="Q616" s="2"/>
    </row>
    <row r="617" spans="1:17" x14ac:dyDescent="0.25">
      <c r="A617" s="122" t="str">
        <f>IF(TRIM(G617)&lt;&gt;"",COUNTA(G$7:$G617)&amp;"","")</f>
        <v>503</v>
      </c>
      <c r="B617" s="123"/>
      <c r="C617" s="123"/>
      <c r="D617" s="222"/>
      <c r="E617" s="104" t="s">
        <v>786</v>
      </c>
      <c r="F617" s="224">
        <v>1</v>
      </c>
      <c r="G617" s="125" t="s">
        <v>250</v>
      </c>
      <c r="H617" s="33">
        <v>0</v>
      </c>
      <c r="I617" s="82">
        <f t="shared" si="560"/>
        <v>1</v>
      </c>
      <c r="J617" s="225">
        <v>781.23</v>
      </c>
      <c r="K617" s="35">
        <f t="shared" si="562"/>
        <v>781.23</v>
      </c>
      <c r="L617" s="36">
        <f t="shared" si="567"/>
        <v>83</v>
      </c>
      <c r="M617" s="37">
        <v>4.2300000000000004</v>
      </c>
      <c r="N617" s="37">
        <f t="shared" si="564"/>
        <v>4.2300000000000004</v>
      </c>
      <c r="O617" s="35">
        <f t="shared" si="565"/>
        <v>351.09000000000003</v>
      </c>
      <c r="P617" s="38">
        <f t="shared" si="566"/>
        <v>1132.3200000000002</v>
      </c>
      <c r="Q617" s="2"/>
    </row>
    <row r="618" spans="1:17" x14ac:dyDescent="0.25">
      <c r="A618" s="122" t="str">
        <f>IF(TRIM(G618)&lt;&gt;"",COUNTA(G$7:$G618)&amp;"","")</f>
        <v>504</v>
      </c>
      <c r="B618" s="123"/>
      <c r="C618" s="123"/>
      <c r="D618" s="222"/>
      <c r="E618" s="220" t="s">
        <v>787</v>
      </c>
      <c r="F618" s="224">
        <v>1</v>
      </c>
      <c r="G618" s="125" t="s">
        <v>250</v>
      </c>
      <c r="H618" s="33">
        <v>0</v>
      </c>
      <c r="I618" s="82">
        <f>IF(F618=0,"",F618+(F618*H618))</f>
        <v>1</v>
      </c>
      <c r="J618" s="225">
        <v>263.3</v>
      </c>
      <c r="K618" s="35">
        <f>IF(F618=0,"",J618*I618)</f>
        <v>263.3</v>
      </c>
      <c r="L618" s="36">
        <f t="shared" si="567"/>
        <v>83</v>
      </c>
      <c r="M618" s="37">
        <v>4</v>
      </c>
      <c r="N618" s="37">
        <f t="shared" si="564"/>
        <v>4</v>
      </c>
      <c r="O618" s="35">
        <f t="shared" si="565"/>
        <v>332</v>
      </c>
      <c r="P618" s="38">
        <f t="shared" si="566"/>
        <v>595.29999999999995</v>
      </c>
      <c r="Q618" s="2"/>
    </row>
    <row r="619" spans="1:17" x14ac:dyDescent="0.25">
      <c r="A619" s="122" t="str">
        <f>IF(TRIM(G619)&lt;&gt;"",COUNTA(G$7:$G619)&amp;"","")</f>
        <v>505</v>
      </c>
      <c r="B619" s="123"/>
      <c r="C619" s="123"/>
      <c r="D619" s="222"/>
      <c r="E619" s="104" t="s">
        <v>788</v>
      </c>
      <c r="F619" s="224">
        <v>1</v>
      </c>
      <c r="G619" s="125" t="s">
        <v>250</v>
      </c>
      <c r="H619" s="33">
        <v>0</v>
      </c>
      <c r="I619" s="82">
        <f t="shared" si="560"/>
        <v>1</v>
      </c>
      <c r="J619" s="225">
        <v>378.21</v>
      </c>
      <c r="K619" s="35">
        <f t="shared" si="562"/>
        <v>378.21</v>
      </c>
      <c r="L619" s="36">
        <f t="shared" si="567"/>
        <v>83</v>
      </c>
      <c r="M619" s="37">
        <v>4</v>
      </c>
      <c r="N619" s="37">
        <f t="shared" si="564"/>
        <v>4</v>
      </c>
      <c r="O619" s="35">
        <f t="shared" si="565"/>
        <v>332</v>
      </c>
      <c r="P619" s="38">
        <f t="shared" si="566"/>
        <v>710.21</v>
      </c>
      <c r="Q619" s="2"/>
    </row>
    <row r="620" spans="1:17" x14ac:dyDescent="0.25">
      <c r="A620" s="122" t="str">
        <f>IF(TRIM(G620)&lt;&gt;"",COUNTA(G$7:$G620)&amp;"","")</f>
        <v>506</v>
      </c>
      <c r="B620" s="123"/>
      <c r="C620" s="123"/>
      <c r="D620" s="222"/>
      <c r="E620" s="220" t="s">
        <v>789</v>
      </c>
      <c r="F620" s="224">
        <v>1</v>
      </c>
      <c r="G620" s="125" t="s">
        <v>250</v>
      </c>
      <c r="H620" s="33">
        <v>0</v>
      </c>
      <c r="I620" s="82">
        <f>IF(F620=0,"",F620+(F620*H620))</f>
        <v>1</v>
      </c>
      <c r="J620" s="225">
        <v>187.48</v>
      </c>
      <c r="K620" s="35">
        <f>IF(F620=0,"",J620*I620)</f>
        <v>187.48</v>
      </c>
      <c r="L620" s="36">
        <f t="shared" si="567"/>
        <v>83</v>
      </c>
      <c r="M620" s="37">
        <v>1.68</v>
      </c>
      <c r="N620" s="37">
        <f t="shared" si="564"/>
        <v>1.68</v>
      </c>
      <c r="O620" s="35">
        <f t="shared" si="565"/>
        <v>139.44</v>
      </c>
      <c r="P620" s="38">
        <f t="shared" si="566"/>
        <v>326.91999999999996</v>
      </c>
      <c r="Q620" s="2"/>
    </row>
    <row r="621" spans="1:17" x14ac:dyDescent="0.25">
      <c r="A621" s="122" t="str">
        <f>IF(TRIM(G621)&lt;&gt;"",COUNTA(G$7:$G621)&amp;"","")</f>
        <v>507</v>
      </c>
      <c r="B621" s="123"/>
      <c r="C621" s="123"/>
      <c r="D621" s="222"/>
      <c r="E621" s="104" t="s">
        <v>790</v>
      </c>
      <c r="F621" s="224">
        <v>1</v>
      </c>
      <c r="G621" s="125" t="s">
        <v>250</v>
      </c>
      <c r="H621" s="33">
        <v>0</v>
      </c>
      <c r="I621" s="82">
        <f t="shared" ref="I621:I623" si="568">IF(F621=0,"",F621+(F621*H621))</f>
        <v>1</v>
      </c>
      <c r="J621" s="225">
        <v>142.99</v>
      </c>
      <c r="K621" s="35">
        <f t="shared" ref="K621:K632" si="569">IF(F621=0,"",J621*I621)</f>
        <v>142.99</v>
      </c>
      <c r="L621" s="36">
        <f t="shared" si="567"/>
        <v>83</v>
      </c>
      <c r="M621" s="37">
        <v>0.2</v>
      </c>
      <c r="N621" s="37">
        <f t="shared" si="564"/>
        <v>0.2</v>
      </c>
      <c r="O621" s="35">
        <f t="shared" si="565"/>
        <v>16.600000000000001</v>
      </c>
      <c r="P621" s="38">
        <f t="shared" si="566"/>
        <v>159.59</v>
      </c>
      <c r="Q621" s="2"/>
    </row>
    <row r="622" spans="1:17" x14ac:dyDescent="0.25">
      <c r="A622" s="122" t="str">
        <f>IF(TRIM(G622)&lt;&gt;"",COUNTA(G$7:$G622)&amp;"","")</f>
        <v/>
      </c>
      <c r="B622" s="123"/>
      <c r="C622" s="123"/>
      <c r="D622" s="222"/>
      <c r="E622" s="220"/>
      <c r="F622" s="224"/>
      <c r="G622" s="125"/>
      <c r="H622" s="33"/>
      <c r="I622" s="82" t="str">
        <f t="shared" si="568"/>
        <v/>
      </c>
      <c r="J622" s="225"/>
      <c r="K622" s="35" t="str">
        <f t="shared" si="569"/>
        <v/>
      </c>
      <c r="L622" s="36" t="str">
        <f t="shared" si="567"/>
        <v/>
      </c>
      <c r="M622" s="37"/>
      <c r="N622" s="37" t="str">
        <f t="shared" si="564"/>
        <v/>
      </c>
      <c r="O622" s="35" t="str">
        <f t="shared" si="565"/>
        <v/>
      </c>
      <c r="P622" s="38" t="str">
        <f t="shared" si="566"/>
        <v/>
      </c>
      <c r="Q622" s="2"/>
    </row>
    <row r="623" spans="1:17" x14ac:dyDescent="0.25">
      <c r="A623" s="122" t="str">
        <f>IF(TRIM(G623)&lt;&gt;"",COUNTA(G$7:$G623)&amp;"","")</f>
        <v/>
      </c>
      <c r="B623" s="123"/>
      <c r="C623" s="123"/>
      <c r="D623" s="222"/>
      <c r="E623" s="223" t="s">
        <v>791</v>
      </c>
      <c r="F623" s="224"/>
      <c r="G623" s="125"/>
      <c r="H623" s="33"/>
      <c r="I623" s="82" t="str">
        <f t="shared" si="568"/>
        <v/>
      </c>
      <c r="J623" s="225"/>
      <c r="K623" s="35" t="str">
        <f t="shared" si="569"/>
        <v/>
      </c>
      <c r="L623" s="36" t="str">
        <f t="shared" si="567"/>
        <v/>
      </c>
      <c r="M623" s="37"/>
      <c r="N623" s="37" t="str">
        <f t="shared" si="564"/>
        <v/>
      </c>
      <c r="O623" s="35" t="str">
        <f t="shared" si="565"/>
        <v/>
      </c>
      <c r="P623" s="38" t="str">
        <f t="shared" si="566"/>
        <v/>
      </c>
      <c r="Q623" s="2"/>
    </row>
    <row r="624" spans="1:17" x14ac:dyDescent="0.25">
      <c r="A624" s="122" t="str">
        <f>IF(TRIM(G624)&lt;&gt;"",COUNTA(G$7:$G624)&amp;"","")</f>
        <v>508</v>
      </c>
      <c r="B624" s="123"/>
      <c r="C624" s="123"/>
      <c r="D624" s="222"/>
      <c r="E624" s="220" t="s">
        <v>792</v>
      </c>
      <c r="F624" s="224">
        <v>2</v>
      </c>
      <c r="G624" s="125" t="s">
        <v>250</v>
      </c>
      <c r="H624" s="33">
        <v>0</v>
      </c>
      <c r="I624" s="82">
        <f>IF(F624=0,"",F624+(F624*H624))</f>
        <v>2</v>
      </c>
      <c r="J624" s="225">
        <v>201.42</v>
      </c>
      <c r="K624" s="35">
        <f t="shared" si="569"/>
        <v>402.84</v>
      </c>
      <c r="L624" s="36">
        <f t="shared" si="567"/>
        <v>83</v>
      </c>
      <c r="M624" s="37">
        <v>0.67</v>
      </c>
      <c r="N624" s="37">
        <f t="shared" si="564"/>
        <v>1.34</v>
      </c>
      <c r="O624" s="35">
        <f t="shared" si="565"/>
        <v>111.22000000000001</v>
      </c>
      <c r="P624" s="38">
        <f t="shared" si="566"/>
        <v>514.05999999999995</v>
      </c>
      <c r="Q624" s="2"/>
    </row>
    <row r="625" spans="1:17" x14ac:dyDescent="0.25">
      <c r="A625" s="122" t="str">
        <f>IF(TRIM(G625)&lt;&gt;"",COUNTA(G$7:$G625)&amp;"","")</f>
        <v>509</v>
      </c>
      <c r="B625" s="123"/>
      <c r="C625" s="123"/>
      <c r="D625" s="222"/>
      <c r="E625" s="220" t="s">
        <v>793</v>
      </c>
      <c r="F625" s="224">
        <v>95</v>
      </c>
      <c r="G625" s="125" t="s">
        <v>250</v>
      </c>
      <c r="H625" s="33">
        <v>0</v>
      </c>
      <c r="I625" s="82">
        <f t="shared" ref="I625:I632" si="570">IF(F625=0,"",F625+(F625*H625))</f>
        <v>95</v>
      </c>
      <c r="J625" s="225">
        <v>68.12</v>
      </c>
      <c r="K625" s="35">
        <f t="shared" si="569"/>
        <v>6471.4000000000005</v>
      </c>
      <c r="L625" s="36">
        <f t="shared" si="567"/>
        <v>83</v>
      </c>
      <c r="M625" s="37">
        <v>0.32300000000000001</v>
      </c>
      <c r="N625" s="37">
        <f t="shared" si="564"/>
        <v>30.685000000000002</v>
      </c>
      <c r="O625" s="35">
        <f t="shared" si="565"/>
        <v>2546.855</v>
      </c>
      <c r="P625" s="38">
        <f t="shared" si="566"/>
        <v>9018.255000000001</v>
      </c>
      <c r="Q625" s="2"/>
    </row>
    <row r="626" spans="1:17" x14ac:dyDescent="0.25">
      <c r="A626" s="122" t="str">
        <f>IF(TRIM(G626)&lt;&gt;"",COUNTA(G$7:$G626)&amp;"","")</f>
        <v/>
      </c>
      <c r="B626" s="123"/>
      <c r="C626" s="123"/>
      <c r="D626" s="222"/>
      <c r="E626" s="104"/>
      <c r="F626" s="224"/>
      <c r="G626" s="125"/>
      <c r="H626" s="33"/>
      <c r="I626" s="82" t="str">
        <f t="shared" si="570"/>
        <v/>
      </c>
      <c r="J626" s="225"/>
      <c r="K626" s="35" t="str">
        <f t="shared" si="569"/>
        <v/>
      </c>
      <c r="L626" s="36" t="str">
        <f t="shared" si="567"/>
        <v/>
      </c>
      <c r="M626" s="37"/>
      <c r="N626" s="37" t="str">
        <f t="shared" si="564"/>
        <v/>
      </c>
      <c r="O626" s="35" t="str">
        <f t="shared" si="565"/>
        <v/>
      </c>
      <c r="P626" s="38" t="str">
        <f t="shared" si="566"/>
        <v/>
      </c>
      <c r="Q626" s="2"/>
    </row>
    <row r="627" spans="1:17" x14ac:dyDescent="0.25">
      <c r="A627" s="122" t="str">
        <f>IF(TRIM(G627)&lt;&gt;"",COUNTA(G$7:$G627)&amp;"","")</f>
        <v/>
      </c>
      <c r="B627" s="123"/>
      <c r="C627" s="123"/>
      <c r="D627" s="222"/>
      <c r="E627" s="223" t="s">
        <v>794</v>
      </c>
      <c r="F627" s="224"/>
      <c r="G627" s="125"/>
      <c r="H627" s="33"/>
      <c r="I627" s="82" t="str">
        <f t="shared" si="570"/>
        <v/>
      </c>
      <c r="J627" s="225"/>
      <c r="K627" s="35" t="str">
        <f t="shared" si="569"/>
        <v/>
      </c>
      <c r="L627" s="36" t="str">
        <f t="shared" si="567"/>
        <v/>
      </c>
      <c r="M627" s="37"/>
      <c r="N627" s="37" t="str">
        <f t="shared" si="564"/>
        <v/>
      </c>
      <c r="O627" s="35" t="str">
        <f t="shared" si="565"/>
        <v/>
      </c>
      <c r="P627" s="38" t="str">
        <f t="shared" si="566"/>
        <v/>
      </c>
      <c r="Q627" s="2"/>
    </row>
    <row r="628" spans="1:17" s="133" customFormat="1" x14ac:dyDescent="0.25">
      <c r="A628" s="122" t="str">
        <f>IF(TRIM(G628)&lt;&gt;"",COUNTA(G$7:$G628)&amp;"","")</f>
        <v>510</v>
      </c>
      <c r="B628" s="227"/>
      <c r="C628" s="227"/>
      <c r="D628" s="222"/>
      <c r="E628" s="220" t="s">
        <v>795</v>
      </c>
      <c r="F628" s="224">
        <v>72</v>
      </c>
      <c r="G628" s="228" t="s">
        <v>250</v>
      </c>
      <c r="H628" s="229">
        <f t="shared" ref="H628:H630" si="571">IF(F628=0,"",0)</f>
        <v>0</v>
      </c>
      <c r="I628" s="230">
        <f t="shared" si="570"/>
        <v>72</v>
      </c>
      <c r="J628" s="231">
        <v>4.2300000000000004</v>
      </c>
      <c r="K628" s="232">
        <f t="shared" si="569"/>
        <v>304.56000000000006</v>
      </c>
      <c r="L628" s="36">
        <f t="shared" si="567"/>
        <v>83</v>
      </c>
      <c r="M628" s="233">
        <v>0.08</v>
      </c>
      <c r="N628" s="233">
        <f t="shared" si="564"/>
        <v>5.76</v>
      </c>
      <c r="O628" s="232">
        <f t="shared" si="565"/>
        <v>478.08</v>
      </c>
      <c r="P628" s="234">
        <f t="shared" si="566"/>
        <v>782.6400000000001</v>
      </c>
      <c r="Q628" s="235"/>
    </row>
    <row r="629" spans="1:17" s="133" customFormat="1" x14ac:dyDescent="0.25">
      <c r="A629" s="122" t="str">
        <f>IF(TRIM(G629)&lt;&gt;"",COUNTA(G$7:$G629)&amp;"","")</f>
        <v>511</v>
      </c>
      <c r="B629" s="227"/>
      <c r="C629" s="227"/>
      <c r="D629" s="222"/>
      <c r="E629" s="220" t="s">
        <v>796</v>
      </c>
      <c r="F629" s="224">
        <v>72</v>
      </c>
      <c r="G629" s="228" t="s">
        <v>250</v>
      </c>
      <c r="H629" s="229">
        <f t="shared" si="571"/>
        <v>0</v>
      </c>
      <c r="I629" s="230">
        <f t="shared" si="570"/>
        <v>72</v>
      </c>
      <c r="J629" s="231">
        <v>4.05</v>
      </c>
      <c r="K629" s="232">
        <f t="shared" si="569"/>
        <v>291.59999999999997</v>
      </c>
      <c r="L629" s="36">
        <f t="shared" si="567"/>
        <v>83</v>
      </c>
      <c r="M629" s="233">
        <v>7.0000000000000007E-2</v>
      </c>
      <c r="N629" s="233">
        <f t="shared" si="564"/>
        <v>5.0400000000000009</v>
      </c>
      <c r="O629" s="232">
        <f t="shared" si="565"/>
        <v>418.32000000000005</v>
      </c>
      <c r="P629" s="234">
        <f t="shared" si="566"/>
        <v>709.92000000000007</v>
      </c>
      <c r="Q629" s="235"/>
    </row>
    <row r="630" spans="1:17" x14ac:dyDescent="0.25">
      <c r="A630" s="122" t="str">
        <f>IF(TRIM(G630)&lt;&gt;"",COUNTA(G$7:$G630)&amp;"","")</f>
        <v/>
      </c>
      <c r="B630" s="126"/>
      <c r="C630" s="126"/>
      <c r="D630" s="50"/>
      <c r="E630" s="114"/>
      <c r="F630" s="124"/>
      <c r="G630" s="125"/>
      <c r="H630" s="33" t="str">
        <f t="shared" si="571"/>
        <v/>
      </c>
      <c r="I630" s="82" t="str">
        <f t="shared" si="570"/>
        <v/>
      </c>
      <c r="J630" s="34" t="str">
        <f t="shared" ref="J630" si="572">IF(F630=0,"",0)</f>
        <v/>
      </c>
      <c r="K630" s="35" t="str">
        <f t="shared" si="569"/>
        <v/>
      </c>
      <c r="L630" s="36" t="str">
        <f t="shared" si="567"/>
        <v/>
      </c>
      <c r="M630" s="37" t="str">
        <f t="shared" ref="M630" si="573">IF(F630=0,"",0)</f>
        <v/>
      </c>
      <c r="N630" s="37" t="str">
        <f t="shared" si="564"/>
        <v/>
      </c>
      <c r="O630" s="35" t="str">
        <f t="shared" si="565"/>
        <v/>
      </c>
      <c r="P630" s="38" t="str">
        <f t="shared" si="566"/>
        <v/>
      </c>
      <c r="Q630" s="2"/>
    </row>
    <row r="631" spans="1:17" x14ac:dyDescent="0.25">
      <c r="A631" s="122" t="str">
        <f>IF(TRIM(G631)&lt;&gt;"",COUNTA(G$7:$G631)&amp;"","")</f>
        <v/>
      </c>
      <c r="B631" s="123"/>
      <c r="C631" s="123"/>
      <c r="D631" s="222"/>
      <c r="E631" s="223" t="s">
        <v>797</v>
      </c>
      <c r="F631" s="224"/>
      <c r="G631" s="125"/>
      <c r="H631" s="33"/>
      <c r="I631" s="82" t="str">
        <f t="shared" si="570"/>
        <v/>
      </c>
      <c r="J631" s="225"/>
      <c r="K631" s="35" t="str">
        <f t="shared" si="569"/>
        <v/>
      </c>
      <c r="L631" s="36" t="str">
        <f t="shared" si="567"/>
        <v/>
      </c>
      <c r="M631" s="37"/>
      <c r="N631" s="37" t="str">
        <f t="shared" si="564"/>
        <v/>
      </c>
      <c r="O631" s="35" t="str">
        <f t="shared" si="565"/>
        <v/>
      </c>
      <c r="P631" s="38" t="str">
        <f t="shared" si="566"/>
        <v/>
      </c>
      <c r="Q631" s="2"/>
    </row>
    <row r="632" spans="1:17" s="133" customFormat="1" x14ac:dyDescent="0.25">
      <c r="A632" s="122" t="str">
        <f>IF(TRIM(G632)&lt;&gt;"",COUNTA(G$7:$G632)&amp;"","")</f>
        <v/>
      </c>
      <c r="B632" s="227"/>
      <c r="C632" s="227"/>
      <c r="D632" s="222"/>
      <c r="E632" s="220" t="s">
        <v>798</v>
      </c>
      <c r="F632" s="236"/>
      <c r="G632" s="228"/>
      <c r="H632" s="229" t="str">
        <f t="shared" ref="H632" si="574">IF(F632=0,"",0)</f>
        <v/>
      </c>
      <c r="I632" s="230" t="str">
        <f t="shared" si="570"/>
        <v/>
      </c>
      <c r="J632" s="231"/>
      <c r="K632" s="232" t="str">
        <f t="shared" si="569"/>
        <v/>
      </c>
      <c r="L632" s="36" t="str">
        <f t="shared" si="567"/>
        <v/>
      </c>
      <c r="M632" s="233"/>
      <c r="N632" s="233" t="str">
        <f t="shared" si="564"/>
        <v/>
      </c>
      <c r="O632" s="232" t="str">
        <f t="shared" si="565"/>
        <v/>
      </c>
      <c r="P632" s="234" t="str">
        <f t="shared" si="566"/>
        <v/>
      </c>
      <c r="Q632" s="235"/>
    </row>
    <row r="633" spans="1:17" x14ac:dyDescent="0.25">
      <c r="A633" s="122" t="str">
        <f>IF(TRIM(G633)&lt;&gt;"",COUNTA(G$9:$G633)&amp;"","")</f>
        <v/>
      </c>
      <c r="B633" s="123"/>
      <c r="C633" s="123"/>
      <c r="D633" s="50"/>
      <c r="E633" s="89"/>
      <c r="F633" s="124"/>
      <c r="G633" s="125"/>
      <c r="H633" s="33" t="str">
        <f t="shared" si="559"/>
        <v/>
      </c>
      <c r="I633" s="82" t="str">
        <f t="shared" si="560"/>
        <v/>
      </c>
      <c r="J633" s="34" t="str">
        <f t="shared" si="561"/>
        <v/>
      </c>
      <c r="K633" s="35" t="str">
        <f t="shared" si="562"/>
        <v/>
      </c>
      <c r="L633" s="36" t="str">
        <f t="shared" si="567"/>
        <v/>
      </c>
      <c r="M633" s="37" t="str">
        <f t="shared" si="563"/>
        <v/>
      </c>
      <c r="N633" s="37" t="str">
        <f t="shared" si="564"/>
        <v/>
      </c>
      <c r="O633" s="35" t="str">
        <f t="shared" si="565"/>
        <v/>
      </c>
      <c r="P633" s="38" t="str">
        <f t="shared" si="566"/>
        <v/>
      </c>
      <c r="Q633" s="2"/>
    </row>
    <row r="634" spans="1:17" ht="15.75" thickBot="1" x14ac:dyDescent="0.3">
      <c r="A634" s="122" t="str">
        <f>IF(TRIM(G634)&lt;&gt;"",COUNTA(G$9:$G634)&amp;"","")</f>
        <v/>
      </c>
      <c r="B634" s="126"/>
      <c r="C634" s="126"/>
      <c r="D634" s="50"/>
      <c r="E634" s="127"/>
      <c r="F634" s="124"/>
      <c r="G634" s="125"/>
      <c r="H634" s="33" t="str">
        <f t="shared" si="559"/>
        <v/>
      </c>
      <c r="I634" s="82" t="str">
        <f t="shared" si="560"/>
        <v/>
      </c>
      <c r="J634" s="34" t="str">
        <f t="shared" si="561"/>
        <v/>
      </c>
      <c r="K634" s="35" t="str">
        <f t="shared" si="562"/>
        <v/>
      </c>
      <c r="L634" s="36" t="str">
        <f t="shared" si="567"/>
        <v/>
      </c>
      <c r="M634" s="37" t="str">
        <f t="shared" si="563"/>
        <v/>
      </c>
      <c r="N634" s="37" t="str">
        <f t="shared" si="564"/>
        <v/>
      </c>
      <c r="O634" s="35" t="str">
        <f t="shared" si="565"/>
        <v/>
      </c>
      <c r="P634" s="38" t="str">
        <f t="shared" si="566"/>
        <v/>
      </c>
      <c r="Q634" s="2"/>
    </row>
    <row r="635" spans="1:17" s="3" customFormat="1" ht="16.5" thickBot="1" x14ac:dyDescent="0.3">
      <c r="A635" s="122" t="str">
        <f>IF(TRIM(G635)&lt;&gt;"",COUNTA(G$9:$G635)&amp;"","")</f>
        <v/>
      </c>
      <c r="B635" s="53"/>
      <c r="C635" s="53"/>
      <c r="D635" s="54"/>
      <c r="E635" s="29"/>
      <c r="F635" s="124"/>
      <c r="G635" s="129"/>
      <c r="H635" s="151" t="s">
        <v>12</v>
      </c>
      <c r="I635" s="152"/>
      <c r="J635" s="68">
        <f>SUM(K$585:K$634)</f>
        <v>44121.318430000007</v>
      </c>
      <c r="K635" s="390" t="s">
        <v>13</v>
      </c>
      <c r="L635" s="391"/>
      <c r="M635" s="69">
        <f>SUM(O$585:O$634)</f>
        <v>46105.932280000001</v>
      </c>
      <c r="N635" s="390" t="s">
        <v>43</v>
      </c>
      <c r="O635" s="391"/>
      <c r="P635" s="70">
        <f>SUM(N$585:N$634)</f>
        <v>555.49316000000022</v>
      </c>
      <c r="Q635" s="71">
        <f>SUM(P$585:P$634)</f>
        <v>90227.250710000008</v>
      </c>
    </row>
    <row r="636" spans="1:17" ht="20.100000000000001" customHeight="1" x14ac:dyDescent="0.25">
      <c r="A636" s="153" t="str">
        <f>IF(TRIM(G636)&lt;&gt;"",COUNTA(G$9:$G636)&amp;"","")</f>
        <v/>
      </c>
      <c r="B636" s="31"/>
      <c r="C636" s="162" t="s">
        <v>192</v>
      </c>
      <c r="D636" s="154" t="s">
        <v>207</v>
      </c>
      <c r="E636" s="154" t="s">
        <v>211</v>
      </c>
      <c r="F636" s="78"/>
      <c r="G636" s="79"/>
      <c r="H636" s="31"/>
      <c r="I636" s="79"/>
      <c r="J636" s="31"/>
      <c r="K636" s="31"/>
      <c r="L636" s="31"/>
      <c r="M636" s="31"/>
      <c r="N636" s="31"/>
      <c r="O636" s="31"/>
      <c r="P636" s="31"/>
      <c r="Q636" s="155"/>
    </row>
    <row r="637" spans="1:17" x14ac:dyDescent="0.25">
      <c r="A637" s="122" t="str">
        <f>IF(TRIM(G637)&lt;&gt;"",COUNTA(G$9:$G637)&amp;"","")</f>
        <v/>
      </c>
      <c r="B637" s="123"/>
      <c r="C637" s="123"/>
      <c r="D637" s="50"/>
      <c r="E637" s="111"/>
      <c r="F637" s="124"/>
      <c r="G637" s="125"/>
      <c r="H637" s="33" t="str">
        <f t="shared" ref="H637:H639" si="575">IF(F637=0,"",0)</f>
        <v/>
      </c>
      <c r="I637" s="82" t="str">
        <f t="shared" ref="I637:I776" si="576">IF(F637=0,"",F637+(F637*H637))</f>
        <v/>
      </c>
      <c r="J637" s="34" t="str">
        <f t="shared" ref="J637:J639" si="577">IF(F637=0,"",0)</f>
        <v/>
      </c>
      <c r="K637" s="35" t="str">
        <f t="shared" ref="K637:K776" si="578">IF(F637=0,"",J637*I637)</f>
        <v/>
      </c>
      <c r="L637" s="36" t="str">
        <f t="shared" ref="L637:L846" si="579">IF(F637=0,"",L$583)</f>
        <v/>
      </c>
      <c r="M637" s="37" t="str">
        <f t="shared" ref="M637:M639" si="580">IF(F637=0,"",0)</f>
        <v/>
      </c>
      <c r="N637" s="37" t="str">
        <f t="shared" ref="N637:N776" si="581">IF(F637=0,"",M637*I637)</f>
        <v/>
      </c>
      <c r="O637" s="35" t="str">
        <f t="shared" ref="O637:O776" si="582">IF(F637=0,"",N637*L637)</f>
        <v/>
      </c>
      <c r="P637" s="38" t="str">
        <f t="shared" ref="P637:P776" si="583">IF(F637=0,"",K637+O637)</f>
        <v/>
      </c>
      <c r="Q637" s="2"/>
    </row>
    <row r="638" spans="1:17" x14ac:dyDescent="0.25">
      <c r="A638" s="122" t="str">
        <f>IF(TRIM(G638)&lt;&gt;"",COUNTA(G$7:$G638)&amp;"","")</f>
        <v/>
      </c>
      <c r="B638" s="123"/>
      <c r="C638" s="123"/>
      <c r="D638" s="222"/>
      <c r="E638" s="223" t="s">
        <v>799</v>
      </c>
      <c r="F638" s="224"/>
      <c r="G638" s="125"/>
      <c r="H638" s="33" t="str">
        <f t="shared" si="575"/>
        <v/>
      </c>
      <c r="I638" s="82" t="str">
        <f t="shared" si="576"/>
        <v/>
      </c>
      <c r="J638" s="225" t="str">
        <f t="shared" si="577"/>
        <v/>
      </c>
      <c r="K638" s="35" t="str">
        <f t="shared" si="578"/>
        <v/>
      </c>
      <c r="L638" s="36" t="str">
        <f t="shared" si="579"/>
        <v/>
      </c>
      <c r="M638" s="37" t="str">
        <f t="shared" si="580"/>
        <v/>
      </c>
      <c r="N638" s="37" t="str">
        <f t="shared" si="581"/>
        <v/>
      </c>
      <c r="O638" s="35" t="str">
        <f t="shared" si="582"/>
        <v/>
      </c>
      <c r="P638" s="38" t="str">
        <f t="shared" si="583"/>
        <v/>
      </c>
      <c r="Q638" s="2"/>
    </row>
    <row r="639" spans="1:17" x14ac:dyDescent="0.25">
      <c r="A639" s="122" t="str">
        <f>IF(TRIM(G639)&lt;&gt;"",COUNTA(G$7:$G639)&amp;"","")</f>
        <v/>
      </c>
      <c r="B639" s="123"/>
      <c r="C639" s="123"/>
      <c r="D639" s="222"/>
      <c r="E639" s="226" t="s">
        <v>800</v>
      </c>
      <c r="F639" s="224"/>
      <c r="G639" s="125"/>
      <c r="H639" s="33" t="str">
        <f t="shared" si="575"/>
        <v/>
      </c>
      <c r="I639" s="82" t="str">
        <f t="shared" si="576"/>
        <v/>
      </c>
      <c r="J639" s="225" t="str">
        <f t="shared" si="577"/>
        <v/>
      </c>
      <c r="K639" s="35" t="str">
        <f t="shared" si="578"/>
        <v/>
      </c>
      <c r="L639" s="36" t="str">
        <f t="shared" si="579"/>
        <v/>
      </c>
      <c r="M639" s="37" t="str">
        <f t="shared" si="580"/>
        <v/>
      </c>
      <c r="N639" s="37" t="str">
        <f t="shared" si="581"/>
        <v/>
      </c>
      <c r="O639" s="35" t="str">
        <f t="shared" si="582"/>
        <v/>
      </c>
      <c r="P639" s="38" t="str">
        <f t="shared" si="583"/>
        <v/>
      </c>
      <c r="Q639" s="2"/>
    </row>
    <row r="640" spans="1:17" x14ac:dyDescent="0.25">
      <c r="A640" s="122" t="str">
        <f>IF(TRIM(G640)&lt;&gt;"",COUNTA(G$7:$G640)&amp;"","")</f>
        <v>512</v>
      </c>
      <c r="B640" s="123"/>
      <c r="C640" s="123"/>
      <c r="D640" s="222"/>
      <c r="E640" s="104" t="s">
        <v>801</v>
      </c>
      <c r="F640" s="224">
        <v>873</v>
      </c>
      <c r="G640" s="125" t="s">
        <v>228</v>
      </c>
      <c r="H640" s="33">
        <v>0.1</v>
      </c>
      <c r="I640" s="82">
        <f t="shared" si="576"/>
        <v>960.3</v>
      </c>
      <c r="J640" s="225">
        <v>3.39</v>
      </c>
      <c r="K640" s="35">
        <f t="shared" si="578"/>
        <v>3255.4169999999999</v>
      </c>
      <c r="L640" s="36">
        <f t="shared" si="579"/>
        <v>83</v>
      </c>
      <c r="M640" s="37">
        <v>9.9000000000000005E-2</v>
      </c>
      <c r="N640" s="37">
        <f t="shared" si="581"/>
        <v>95.069699999999997</v>
      </c>
      <c r="O640" s="35">
        <f t="shared" si="582"/>
        <v>7890.7851000000001</v>
      </c>
      <c r="P640" s="38">
        <f t="shared" si="583"/>
        <v>11146.2021</v>
      </c>
      <c r="Q640" s="2"/>
    </row>
    <row r="641" spans="1:17" x14ac:dyDescent="0.25">
      <c r="A641" s="122" t="str">
        <f>IF(TRIM(G641)&lt;&gt;"",COUNTA(G$7:$G641)&amp;"","")</f>
        <v>513</v>
      </c>
      <c r="B641" s="123"/>
      <c r="C641" s="123"/>
      <c r="D641" s="222"/>
      <c r="E641" s="220" t="s">
        <v>802</v>
      </c>
      <c r="F641" s="224">
        <v>200.35</v>
      </c>
      <c r="G641" s="125" t="s">
        <v>228</v>
      </c>
      <c r="H641" s="33">
        <v>0.1</v>
      </c>
      <c r="I641" s="82">
        <f t="shared" si="576"/>
        <v>220.38499999999999</v>
      </c>
      <c r="J641" s="225">
        <v>4.96</v>
      </c>
      <c r="K641" s="35">
        <f t="shared" si="578"/>
        <v>1093.1096</v>
      </c>
      <c r="L641" s="36">
        <f t="shared" si="579"/>
        <v>83</v>
      </c>
      <c r="M641" s="37">
        <v>0.105</v>
      </c>
      <c r="N641" s="37">
        <f t="shared" si="581"/>
        <v>23.140424999999997</v>
      </c>
      <c r="O641" s="35">
        <f t="shared" si="582"/>
        <v>1920.6552749999998</v>
      </c>
      <c r="P641" s="38">
        <f t="shared" si="583"/>
        <v>3013.7648749999998</v>
      </c>
      <c r="Q641" s="2"/>
    </row>
    <row r="642" spans="1:17" x14ac:dyDescent="0.25">
      <c r="A642" s="122" t="str">
        <f>IF(TRIM(G642)&lt;&gt;"",COUNTA(G$7:$G642)&amp;"","")</f>
        <v>514</v>
      </c>
      <c r="B642" s="123"/>
      <c r="C642" s="123"/>
      <c r="D642" s="222"/>
      <c r="E642" s="220" t="s">
        <v>803</v>
      </c>
      <c r="F642" s="224">
        <v>105</v>
      </c>
      <c r="G642" s="125" t="s">
        <v>228</v>
      </c>
      <c r="H642" s="33">
        <v>0.1</v>
      </c>
      <c r="I642" s="82">
        <f t="shared" si="576"/>
        <v>115.5</v>
      </c>
      <c r="J642" s="225">
        <v>7.17</v>
      </c>
      <c r="K642" s="35">
        <f t="shared" si="578"/>
        <v>828.13499999999999</v>
      </c>
      <c r="L642" s="36">
        <f t="shared" si="579"/>
        <v>83</v>
      </c>
      <c r="M642" s="37">
        <v>0.11799999999999999</v>
      </c>
      <c r="N642" s="37">
        <f t="shared" si="581"/>
        <v>13.629</v>
      </c>
      <c r="O642" s="35">
        <f t="shared" si="582"/>
        <v>1131.2069999999999</v>
      </c>
      <c r="P642" s="38">
        <f t="shared" si="583"/>
        <v>1959.3419999999999</v>
      </c>
      <c r="Q642" s="2"/>
    </row>
    <row r="643" spans="1:17" x14ac:dyDescent="0.25">
      <c r="A643" s="122" t="str">
        <f>IF(TRIM(G643)&lt;&gt;"",COUNTA(G$7:$G643)&amp;"","")</f>
        <v>515</v>
      </c>
      <c r="B643" s="123"/>
      <c r="C643" s="123"/>
      <c r="D643" s="222"/>
      <c r="E643" s="104" t="s">
        <v>804</v>
      </c>
      <c r="F643" s="224">
        <v>83.59</v>
      </c>
      <c r="G643" s="125" t="s">
        <v>228</v>
      </c>
      <c r="H643" s="33">
        <v>0.1</v>
      </c>
      <c r="I643" s="82">
        <f t="shared" si="576"/>
        <v>91.948999999999998</v>
      </c>
      <c r="J643" s="225">
        <v>10.02</v>
      </c>
      <c r="K643" s="35">
        <f t="shared" si="578"/>
        <v>921.32897999999989</v>
      </c>
      <c r="L643" s="36">
        <f t="shared" si="579"/>
        <v>83</v>
      </c>
      <c r="M643" s="37">
        <v>0.13800000000000001</v>
      </c>
      <c r="N643" s="37">
        <f t="shared" si="581"/>
        <v>12.688962</v>
      </c>
      <c r="O643" s="35">
        <f t="shared" si="582"/>
        <v>1053.1838459999999</v>
      </c>
      <c r="P643" s="38">
        <f t="shared" si="583"/>
        <v>1974.5128259999997</v>
      </c>
      <c r="Q643" s="2"/>
    </row>
    <row r="644" spans="1:17" x14ac:dyDescent="0.25">
      <c r="A644" s="122" t="str">
        <f>IF(TRIM(G644)&lt;&gt;"",COUNTA(G$7:$G644)&amp;"","")</f>
        <v>516</v>
      </c>
      <c r="B644" s="123"/>
      <c r="C644" s="123"/>
      <c r="D644" s="222"/>
      <c r="E644" s="104" t="s">
        <v>805</v>
      </c>
      <c r="F644" s="224">
        <v>19.12</v>
      </c>
      <c r="G644" s="125" t="s">
        <v>228</v>
      </c>
      <c r="H644" s="33">
        <v>0.1</v>
      </c>
      <c r="I644" s="82">
        <f>IF(F644=0,"",F644+(F644*H644))</f>
        <v>21.032</v>
      </c>
      <c r="J644" s="225">
        <v>12.64</v>
      </c>
      <c r="K644" s="35">
        <f>IF(F644=0,"",J644*I644)</f>
        <v>265.84448000000003</v>
      </c>
      <c r="L644" s="36">
        <f t="shared" si="579"/>
        <v>83</v>
      </c>
      <c r="M644" s="37">
        <v>0.154</v>
      </c>
      <c r="N644" s="37">
        <f>IF(F644=0,"",M644*I644)</f>
        <v>3.238928</v>
      </c>
      <c r="O644" s="35">
        <f>IF(F644=0,"",N644*L644)</f>
        <v>268.83102400000001</v>
      </c>
      <c r="P644" s="38">
        <f>IF(F644=0,"",K644+O644)</f>
        <v>534.67550400000005</v>
      </c>
      <c r="Q644" s="2"/>
    </row>
    <row r="645" spans="1:17" x14ac:dyDescent="0.25">
      <c r="A645" s="122" t="str">
        <f>IF(TRIM(G645)&lt;&gt;"",COUNTA(G$7:$G645)&amp;"","")</f>
        <v>517</v>
      </c>
      <c r="B645" s="123"/>
      <c r="C645" s="123"/>
      <c r="D645" s="222"/>
      <c r="E645" s="104" t="s">
        <v>806</v>
      </c>
      <c r="F645" s="224">
        <v>16.170000000000002</v>
      </c>
      <c r="G645" s="125" t="s">
        <v>228</v>
      </c>
      <c r="H645" s="33">
        <v>0.1</v>
      </c>
      <c r="I645" s="82">
        <f t="shared" ref="I645:I647" si="584">IF(F645=0,"",F645+(F645*H645))</f>
        <v>17.787000000000003</v>
      </c>
      <c r="J645" s="225">
        <v>20.22</v>
      </c>
      <c r="K645" s="35">
        <f t="shared" ref="K645:K647" si="585">IF(F645=0,"",J645*I645)</f>
        <v>359.65314000000001</v>
      </c>
      <c r="L645" s="36">
        <f t="shared" si="579"/>
        <v>83</v>
      </c>
      <c r="M645" s="37">
        <v>0.19</v>
      </c>
      <c r="N645" s="37">
        <f t="shared" ref="N645:N647" si="586">IF(F645=0,"",M645*I645)</f>
        <v>3.3795300000000004</v>
      </c>
      <c r="O645" s="35">
        <f t="shared" ref="O645:O647" si="587">IF(F645=0,"",N645*L645)</f>
        <v>280.50099000000006</v>
      </c>
      <c r="P645" s="38">
        <f t="shared" ref="P645:P647" si="588">IF(F645=0,"",K645+O645)</f>
        <v>640.15413000000012</v>
      </c>
      <c r="Q645" s="2"/>
    </row>
    <row r="646" spans="1:17" x14ac:dyDescent="0.25">
      <c r="A646" s="122" t="str">
        <f>IF(TRIM(G646)&lt;&gt;"",COUNTA(G$7:$G646)&amp;"","")</f>
        <v>518</v>
      </c>
      <c r="B646" s="123"/>
      <c r="C646" s="123"/>
      <c r="D646" s="222"/>
      <c r="E646" s="220" t="s">
        <v>807</v>
      </c>
      <c r="F646" s="224">
        <v>70.53</v>
      </c>
      <c r="G646" s="125" t="s">
        <v>228</v>
      </c>
      <c r="H646" s="33">
        <v>0.1</v>
      </c>
      <c r="I646" s="82">
        <f t="shared" si="584"/>
        <v>77.582999999999998</v>
      </c>
      <c r="J646" s="225">
        <v>3.39</v>
      </c>
      <c r="K646" s="35">
        <f t="shared" si="585"/>
        <v>263.00637</v>
      </c>
      <c r="L646" s="36">
        <f t="shared" si="579"/>
        <v>83</v>
      </c>
      <c r="M646" s="37">
        <v>9.9000000000000005E-2</v>
      </c>
      <c r="N646" s="37">
        <f t="shared" si="586"/>
        <v>7.6807170000000005</v>
      </c>
      <c r="O646" s="35">
        <f t="shared" si="587"/>
        <v>637.49951099999998</v>
      </c>
      <c r="P646" s="38">
        <f t="shared" si="588"/>
        <v>900.50588100000004</v>
      </c>
      <c r="Q646" s="2"/>
    </row>
    <row r="647" spans="1:17" x14ac:dyDescent="0.25">
      <c r="A647" s="122" t="str">
        <f>IF(TRIM(G647)&lt;&gt;"",COUNTA(G$7:$G647)&amp;"","")</f>
        <v>519</v>
      </c>
      <c r="B647" s="123"/>
      <c r="C647" s="123"/>
      <c r="D647" s="222"/>
      <c r="E647" s="104" t="s">
        <v>808</v>
      </c>
      <c r="F647" s="224">
        <v>166.89</v>
      </c>
      <c r="G647" s="125" t="s">
        <v>228</v>
      </c>
      <c r="H647" s="33">
        <v>0.1</v>
      </c>
      <c r="I647" s="82">
        <f t="shared" si="584"/>
        <v>183.57899999999998</v>
      </c>
      <c r="J647" s="225">
        <v>4.96</v>
      </c>
      <c r="K647" s="35">
        <f t="shared" si="585"/>
        <v>910.55183999999986</v>
      </c>
      <c r="L647" s="36">
        <f t="shared" si="579"/>
        <v>83</v>
      </c>
      <c r="M647" s="37">
        <v>0.105</v>
      </c>
      <c r="N647" s="37">
        <f t="shared" si="586"/>
        <v>19.275794999999999</v>
      </c>
      <c r="O647" s="35">
        <f t="shared" si="587"/>
        <v>1599.890985</v>
      </c>
      <c r="P647" s="38">
        <f t="shared" si="588"/>
        <v>2510.4428250000001</v>
      </c>
      <c r="Q647" s="2"/>
    </row>
    <row r="648" spans="1:17" x14ac:dyDescent="0.25">
      <c r="A648" s="122" t="str">
        <f>IF(TRIM(G648)&lt;&gt;"",COUNTA(G$7:$G648)&amp;"","")</f>
        <v>520</v>
      </c>
      <c r="B648" s="123"/>
      <c r="C648" s="123"/>
      <c r="D648" s="222"/>
      <c r="E648" s="220" t="s">
        <v>809</v>
      </c>
      <c r="F648" s="224">
        <v>31.55</v>
      </c>
      <c r="G648" s="125" t="s">
        <v>228</v>
      </c>
      <c r="H648" s="33">
        <v>0.1</v>
      </c>
      <c r="I648" s="82">
        <f t="shared" si="576"/>
        <v>34.704999999999998</v>
      </c>
      <c r="J648" s="225">
        <v>7.17</v>
      </c>
      <c r="K648" s="35">
        <f t="shared" si="578"/>
        <v>248.83484999999999</v>
      </c>
      <c r="L648" s="36">
        <f t="shared" si="579"/>
        <v>83</v>
      </c>
      <c r="M648" s="37">
        <v>0.11799999999999999</v>
      </c>
      <c r="N648" s="37">
        <f t="shared" si="581"/>
        <v>4.0951899999999997</v>
      </c>
      <c r="O648" s="35">
        <f t="shared" si="582"/>
        <v>339.90076999999997</v>
      </c>
      <c r="P648" s="38">
        <f t="shared" si="583"/>
        <v>588.73561999999993</v>
      </c>
      <c r="Q648" s="2"/>
    </row>
    <row r="649" spans="1:17" x14ac:dyDescent="0.25">
      <c r="A649" s="122" t="str">
        <f>IF(TRIM(G649)&lt;&gt;"",COUNTA(G$7:$G649)&amp;"","")</f>
        <v>521</v>
      </c>
      <c r="B649" s="123"/>
      <c r="C649" s="123"/>
      <c r="D649" s="222"/>
      <c r="E649" s="104" t="s">
        <v>810</v>
      </c>
      <c r="F649" s="224">
        <v>60.07</v>
      </c>
      <c r="G649" s="125" t="s">
        <v>228</v>
      </c>
      <c r="H649" s="33">
        <v>0.1</v>
      </c>
      <c r="I649" s="82">
        <f t="shared" si="576"/>
        <v>66.076999999999998</v>
      </c>
      <c r="J649" s="225">
        <v>10.02</v>
      </c>
      <c r="K649" s="35">
        <f t="shared" si="578"/>
        <v>662.09154000000001</v>
      </c>
      <c r="L649" s="36">
        <f t="shared" si="579"/>
        <v>83</v>
      </c>
      <c r="M649" s="37">
        <v>0.13800000000000001</v>
      </c>
      <c r="N649" s="37">
        <f t="shared" si="581"/>
        <v>9.1186260000000008</v>
      </c>
      <c r="O649" s="35">
        <f t="shared" si="582"/>
        <v>756.84595800000011</v>
      </c>
      <c r="P649" s="38">
        <f t="shared" si="583"/>
        <v>1418.9374980000002</v>
      </c>
      <c r="Q649" s="2"/>
    </row>
    <row r="650" spans="1:17" x14ac:dyDescent="0.25">
      <c r="A650" s="122" t="str">
        <f>IF(TRIM(G650)&lt;&gt;"",COUNTA(G$7:$G650)&amp;"","")</f>
        <v>522</v>
      </c>
      <c r="B650" s="123"/>
      <c r="C650" s="123"/>
      <c r="D650" s="222"/>
      <c r="E650" s="104" t="s">
        <v>811</v>
      </c>
      <c r="F650" s="224">
        <v>45.34</v>
      </c>
      <c r="G650" s="125" t="s">
        <v>228</v>
      </c>
      <c r="H650" s="33">
        <v>0.1</v>
      </c>
      <c r="I650" s="82">
        <f>IF(F650=0,"",F650+(F650*H650))</f>
        <v>49.874000000000002</v>
      </c>
      <c r="J650" s="225">
        <v>12.64</v>
      </c>
      <c r="K650" s="35">
        <f>IF(F650=0,"",J650*I650)</f>
        <v>630.40736000000004</v>
      </c>
      <c r="L650" s="36">
        <f t="shared" si="579"/>
        <v>83</v>
      </c>
      <c r="M650" s="37">
        <v>0.154</v>
      </c>
      <c r="N650" s="37">
        <f>IF(F650=0,"",M650*I650)</f>
        <v>7.6805960000000004</v>
      </c>
      <c r="O650" s="35">
        <f>IF(F650=0,"",N650*L650)</f>
        <v>637.48946799999999</v>
      </c>
      <c r="P650" s="38">
        <f>IF(F650=0,"",K650+O650)</f>
        <v>1267.8968279999999</v>
      </c>
      <c r="Q650" s="2"/>
    </row>
    <row r="651" spans="1:17" x14ac:dyDescent="0.25">
      <c r="A651" s="122" t="str">
        <f>IF(TRIM(G651)&lt;&gt;"",COUNTA(G$7:$G651)&amp;"","")</f>
        <v>523</v>
      </c>
      <c r="B651" s="123"/>
      <c r="C651" s="123"/>
      <c r="D651" s="222"/>
      <c r="E651" s="104" t="s">
        <v>812</v>
      </c>
      <c r="F651" s="224">
        <v>159.77000000000001</v>
      </c>
      <c r="G651" s="125" t="s">
        <v>228</v>
      </c>
      <c r="H651" s="33">
        <v>0.1</v>
      </c>
      <c r="I651" s="82">
        <f t="shared" ref="I651" si="589">IF(F651=0,"",F651+(F651*H651))</f>
        <v>175.74700000000001</v>
      </c>
      <c r="J651" s="225">
        <v>4.96</v>
      </c>
      <c r="K651" s="35">
        <f t="shared" ref="K651" si="590">IF(F651=0,"",J651*I651)</f>
        <v>871.70512000000008</v>
      </c>
      <c r="L651" s="36">
        <f t="shared" si="579"/>
        <v>83</v>
      </c>
      <c r="M651" s="37">
        <v>0.105</v>
      </c>
      <c r="N651" s="37">
        <f t="shared" ref="N651" si="591">IF(F651=0,"",M651*I651)</f>
        <v>18.453435000000002</v>
      </c>
      <c r="O651" s="35">
        <f t="shared" ref="O651" si="592">IF(F651=0,"",N651*L651)</f>
        <v>1531.6351050000003</v>
      </c>
      <c r="P651" s="38">
        <f t="shared" ref="P651" si="593">IF(F651=0,"",K651+O651)</f>
        <v>2403.3402250000004</v>
      </c>
      <c r="Q651" s="2"/>
    </row>
    <row r="652" spans="1:17" x14ac:dyDescent="0.25">
      <c r="A652" s="122" t="str">
        <f>IF(TRIM(G652)&lt;&gt;"",COUNTA(G$7:$G652)&amp;"","")</f>
        <v/>
      </c>
      <c r="B652" s="123"/>
      <c r="C652" s="123"/>
      <c r="D652" s="222"/>
      <c r="E652" s="220"/>
      <c r="F652" s="224"/>
      <c r="G652" s="125"/>
      <c r="H652" s="33"/>
      <c r="I652" s="82" t="str">
        <f t="shared" si="576"/>
        <v/>
      </c>
      <c r="J652" s="225"/>
      <c r="K652" s="35" t="str">
        <f t="shared" si="578"/>
        <v/>
      </c>
      <c r="L652" s="36" t="str">
        <f t="shared" si="579"/>
        <v/>
      </c>
      <c r="M652" s="37"/>
      <c r="N652" s="37" t="str">
        <f t="shared" si="581"/>
        <v/>
      </c>
      <c r="O652" s="35" t="str">
        <f t="shared" si="582"/>
        <v/>
      </c>
      <c r="P652" s="38" t="str">
        <f t="shared" si="583"/>
        <v/>
      </c>
      <c r="Q652" s="2"/>
    </row>
    <row r="653" spans="1:17" x14ac:dyDescent="0.25">
      <c r="A653" s="122" t="str">
        <f>IF(TRIM(G653)&lt;&gt;"",COUNTA(G$7:$G653)&amp;"","")</f>
        <v/>
      </c>
      <c r="B653" s="123"/>
      <c r="C653" s="123"/>
      <c r="D653" s="222"/>
      <c r="E653" s="226" t="s">
        <v>813</v>
      </c>
      <c r="F653" s="224"/>
      <c r="G653" s="125"/>
      <c r="H653" s="33"/>
      <c r="I653" s="82" t="str">
        <f t="shared" si="576"/>
        <v/>
      </c>
      <c r="J653" s="225"/>
      <c r="K653" s="35" t="str">
        <f t="shared" si="578"/>
        <v/>
      </c>
      <c r="L653" s="36" t="str">
        <f t="shared" si="579"/>
        <v/>
      </c>
      <c r="M653" s="37"/>
      <c r="N653" s="37" t="str">
        <f t="shared" si="581"/>
        <v/>
      </c>
      <c r="O653" s="35" t="str">
        <f t="shared" si="582"/>
        <v/>
      </c>
      <c r="P653" s="38" t="str">
        <f t="shared" si="583"/>
        <v/>
      </c>
      <c r="Q653" s="2"/>
    </row>
    <row r="654" spans="1:17" x14ac:dyDescent="0.25">
      <c r="A654" s="122" t="str">
        <f>IF(TRIM(G654)&lt;&gt;"",COUNTA(G$7:$G654)&amp;"","")</f>
        <v>524</v>
      </c>
      <c r="B654" s="123"/>
      <c r="C654" s="123"/>
      <c r="D654" s="222"/>
      <c r="E654" s="220" t="s">
        <v>814</v>
      </c>
      <c r="F654" s="224">
        <v>38</v>
      </c>
      <c r="G654" s="125" t="s">
        <v>250</v>
      </c>
      <c r="H654" s="33">
        <v>0</v>
      </c>
      <c r="I654" s="82">
        <f t="shared" si="576"/>
        <v>38</v>
      </c>
      <c r="J654" s="225">
        <v>2.29</v>
      </c>
      <c r="K654" s="35">
        <f t="shared" si="578"/>
        <v>87.02</v>
      </c>
      <c r="L654" s="36">
        <f t="shared" si="579"/>
        <v>83</v>
      </c>
      <c r="M654" s="37">
        <v>0.4</v>
      </c>
      <c r="N654" s="37">
        <f t="shared" si="581"/>
        <v>15.200000000000001</v>
      </c>
      <c r="O654" s="35">
        <f t="shared" si="582"/>
        <v>1261.6000000000001</v>
      </c>
      <c r="P654" s="38">
        <f t="shared" si="583"/>
        <v>1348.6200000000001</v>
      </c>
      <c r="Q654" s="2"/>
    </row>
    <row r="655" spans="1:17" x14ac:dyDescent="0.25">
      <c r="A655" s="122" t="str">
        <f>IF(TRIM(G655)&lt;&gt;"",COUNTA(G$7:$G655)&amp;"","")</f>
        <v>525</v>
      </c>
      <c r="B655" s="123"/>
      <c r="C655" s="123"/>
      <c r="D655" s="222"/>
      <c r="E655" s="104" t="s">
        <v>815</v>
      </c>
      <c r="F655" s="224">
        <v>53</v>
      </c>
      <c r="G655" s="125" t="s">
        <v>250</v>
      </c>
      <c r="H655" s="33">
        <v>0</v>
      </c>
      <c r="I655" s="82">
        <f t="shared" si="576"/>
        <v>53</v>
      </c>
      <c r="J655" s="225">
        <v>5.05</v>
      </c>
      <c r="K655" s="35">
        <f t="shared" si="578"/>
        <v>267.64999999999998</v>
      </c>
      <c r="L655" s="36">
        <f t="shared" si="579"/>
        <v>83</v>
      </c>
      <c r="M655" s="37">
        <v>0.42099999999999999</v>
      </c>
      <c r="N655" s="37">
        <f t="shared" si="581"/>
        <v>22.312999999999999</v>
      </c>
      <c r="O655" s="35">
        <f t="shared" si="582"/>
        <v>1851.9789999999998</v>
      </c>
      <c r="P655" s="38">
        <f t="shared" si="583"/>
        <v>2119.6289999999999</v>
      </c>
      <c r="Q655" s="2"/>
    </row>
    <row r="656" spans="1:17" x14ac:dyDescent="0.25">
      <c r="A656" s="122" t="str">
        <f>IF(TRIM(G656)&lt;&gt;"",COUNTA(G$7:$G656)&amp;"","")</f>
        <v>526</v>
      </c>
      <c r="B656" s="123"/>
      <c r="C656" s="123"/>
      <c r="D656" s="222"/>
      <c r="E656" s="220" t="s">
        <v>816</v>
      </c>
      <c r="F656" s="224">
        <v>21</v>
      </c>
      <c r="G656" s="125" t="s">
        <v>250</v>
      </c>
      <c r="H656" s="33">
        <v>0</v>
      </c>
      <c r="I656" s="82">
        <f t="shared" si="576"/>
        <v>21</v>
      </c>
      <c r="J656" s="225">
        <v>12.36</v>
      </c>
      <c r="K656" s="35">
        <f t="shared" si="578"/>
        <v>259.56</v>
      </c>
      <c r="L656" s="36">
        <f t="shared" si="579"/>
        <v>83</v>
      </c>
      <c r="M656" s="37">
        <v>0.5</v>
      </c>
      <c r="N656" s="37">
        <f t="shared" si="581"/>
        <v>10.5</v>
      </c>
      <c r="O656" s="35">
        <f t="shared" si="582"/>
        <v>871.5</v>
      </c>
      <c r="P656" s="38">
        <f t="shared" si="583"/>
        <v>1131.06</v>
      </c>
      <c r="Q656" s="2"/>
    </row>
    <row r="657" spans="1:17" x14ac:dyDescent="0.25">
      <c r="A657" s="122" t="str">
        <f>IF(TRIM(G657)&lt;&gt;"",COUNTA(G$7:$G657)&amp;"","")</f>
        <v>527</v>
      </c>
      <c r="B657" s="123"/>
      <c r="C657" s="123"/>
      <c r="D657" s="222"/>
      <c r="E657" s="220" t="s">
        <v>817</v>
      </c>
      <c r="F657" s="224">
        <v>4</v>
      </c>
      <c r="G657" s="125" t="s">
        <v>250</v>
      </c>
      <c r="H657" s="33">
        <v>0</v>
      </c>
      <c r="I657" s="82">
        <f t="shared" si="576"/>
        <v>4</v>
      </c>
      <c r="J657" s="225">
        <v>18.329999999999998</v>
      </c>
      <c r="K657" s="35">
        <f t="shared" si="578"/>
        <v>73.319999999999993</v>
      </c>
      <c r="L657" s="36">
        <f t="shared" si="579"/>
        <v>83</v>
      </c>
      <c r="M657" s="37">
        <v>0.53300000000000003</v>
      </c>
      <c r="N657" s="37">
        <f t="shared" si="581"/>
        <v>2.1320000000000001</v>
      </c>
      <c r="O657" s="35">
        <f t="shared" si="582"/>
        <v>176.95600000000002</v>
      </c>
      <c r="P657" s="38">
        <f t="shared" si="583"/>
        <v>250.27600000000001</v>
      </c>
      <c r="Q657" s="2"/>
    </row>
    <row r="658" spans="1:17" x14ac:dyDescent="0.25">
      <c r="A658" s="122" t="str">
        <f>IF(TRIM(G658)&lt;&gt;"",COUNTA(G$7:$G658)&amp;"","")</f>
        <v>528</v>
      </c>
      <c r="B658" s="123"/>
      <c r="C658" s="123"/>
      <c r="D658" s="222"/>
      <c r="E658" s="104" t="s">
        <v>818</v>
      </c>
      <c r="F658" s="224">
        <v>7</v>
      </c>
      <c r="G658" s="125" t="s">
        <v>250</v>
      </c>
      <c r="H658" s="33">
        <v>0</v>
      </c>
      <c r="I658" s="82">
        <f t="shared" si="576"/>
        <v>7</v>
      </c>
      <c r="J658" s="225">
        <v>28.49</v>
      </c>
      <c r="K658" s="35">
        <f t="shared" si="578"/>
        <v>199.42999999999998</v>
      </c>
      <c r="L658" s="36">
        <f t="shared" si="579"/>
        <v>83</v>
      </c>
      <c r="M658" s="37">
        <v>0.61499999999999999</v>
      </c>
      <c r="N658" s="37">
        <f t="shared" si="581"/>
        <v>4.3049999999999997</v>
      </c>
      <c r="O658" s="35">
        <f t="shared" si="582"/>
        <v>357.315</v>
      </c>
      <c r="P658" s="38">
        <f t="shared" si="583"/>
        <v>556.745</v>
      </c>
      <c r="Q658" s="2"/>
    </row>
    <row r="659" spans="1:17" x14ac:dyDescent="0.25">
      <c r="A659" s="122" t="str">
        <f>IF(TRIM(G659)&lt;&gt;"",COUNTA(G$7:$G659)&amp;"","")</f>
        <v>529</v>
      </c>
      <c r="B659" s="123"/>
      <c r="C659" s="123"/>
      <c r="D659" s="222"/>
      <c r="E659" s="220" t="s">
        <v>819</v>
      </c>
      <c r="F659" s="224">
        <v>2</v>
      </c>
      <c r="G659" s="125" t="s">
        <v>250</v>
      </c>
      <c r="H659" s="33">
        <v>0</v>
      </c>
      <c r="I659" s="82">
        <f>IF(F659=0,"",F659+(F659*H659))</f>
        <v>2</v>
      </c>
      <c r="J659" s="225">
        <v>2.363</v>
      </c>
      <c r="K659" s="35">
        <f>IF(F659=0,"",J659*I659)</f>
        <v>4.726</v>
      </c>
      <c r="L659" s="36">
        <f t="shared" si="579"/>
        <v>83</v>
      </c>
      <c r="M659" s="37">
        <v>0.41</v>
      </c>
      <c r="N659" s="37">
        <f>IF(F659=0,"",M659*I659)</f>
        <v>0.82</v>
      </c>
      <c r="O659" s="35">
        <f>IF(F659=0,"",N659*L659)</f>
        <v>68.06</v>
      </c>
      <c r="P659" s="38">
        <f>IF(F659=0,"",K659+O659)</f>
        <v>72.786000000000001</v>
      </c>
      <c r="Q659" s="2"/>
    </row>
    <row r="660" spans="1:17" x14ac:dyDescent="0.25">
      <c r="A660" s="122" t="str">
        <f>IF(TRIM(G660)&lt;&gt;"",COUNTA(G$7:$G660)&amp;"","")</f>
        <v>530</v>
      </c>
      <c r="B660" s="123"/>
      <c r="C660" s="123"/>
      <c r="D660" s="222"/>
      <c r="E660" s="104" t="s">
        <v>820</v>
      </c>
      <c r="F660" s="224">
        <v>1</v>
      </c>
      <c r="G660" s="125" t="s">
        <v>250</v>
      </c>
      <c r="H660" s="33">
        <v>0</v>
      </c>
      <c r="I660" s="82">
        <f t="shared" si="576"/>
        <v>1</v>
      </c>
      <c r="J660" s="225">
        <v>2.42</v>
      </c>
      <c r="K660" s="35">
        <f t="shared" si="578"/>
        <v>2.42</v>
      </c>
      <c r="L660" s="36">
        <f t="shared" si="579"/>
        <v>83</v>
      </c>
      <c r="M660" s="37">
        <v>0.42</v>
      </c>
      <c r="N660" s="37">
        <f t="shared" si="581"/>
        <v>0.42</v>
      </c>
      <c r="O660" s="35">
        <f t="shared" si="582"/>
        <v>34.86</v>
      </c>
      <c r="P660" s="38">
        <f t="shared" si="583"/>
        <v>37.28</v>
      </c>
      <c r="Q660" s="2"/>
    </row>
    <row r="661" spans="1:17" x14ac:dyDescent="0.25">
      <c r="A661" s="122" t="str">
        <f>IF(TRIM(G661)&lt;&gt;"",COUNTA(G$7:$G661)&amp;"","")</f>
        <v>531</v>
      </c>
      <c r="B661" s="123"/>
      <c r="C661" s="123"/>
      <c r="D661" s="222"/>
      <c r="E661" s="104" t="s">
        <v>821</v>
      </c>
      <c r="F661" s="224">
        <v>1</v>
      </c>
      <c r="G661" s="125" t="s">
        <v>250</v>
      </c>
      <c r="H661" s="33">
        <v>0</v>
      </c>
      <c r="I661" s="82">
        <f t="shared" si="576"/>
        <v>1</v>
      </c>
      <c r="J661" s="225">
        <v>2.97</v>
      </c>
      <c r="K661" s="35">
        <f t="shared" si="578"/>
        <v>2.97</v>
      </c>
      <c r="L661" s="36">
        <f t="shared" si="579"/>
        <v>83</v>
      </c>
      <c r="M661" s="37">
        <v>0.53</v>
      </c>
      <c r="N661" s="37">
        <f t="shared" si="581"/>
        <v>0.53</v>
      </c>
      <c r="O661" s="35">
        <f t="shared" si="582"/>
        <v>43.99</v>
      </c>
      <c r="P661" s="38">
        <f t="shared" si="583"/>
        <v>46.96</v>
      </c>
      <c r="Q661" s="2"/>
    </row>
    <row r="662" spans="1:17" x14ac:dyDescent="0.25">
      <c r="A662" s="122" t="str">
        <f>IF(TRIM(G662)&lt;&gt;"",COUNTA(G$7:$G662)&amp;"","")</f>
        <v>532</v>
      </c>
      <c r="B662" s="123"/>
      <c r="C662" s="123"/>
      <c r="D662" s="222"/>
      <c r="E662" s="220" t="s">
        <v>822</v>
      </c>
      <c r="F662" s="224">
        <v>1</v>
      </c>
      <c r="G662" s="125" t="s">
        <v>250</v>
      </c>
      <c r="H662" s="33">
        <v>0</v>
      </c>
      <c r="I662" s="82">
        <f>IF(F662=0,"",F662+(F662*H662))</f>
        <v>1</v>
      </c>
      <c r="J662" s="225">
        <v>3.69</v>
      </c>
      <c r="K662" s="35">
        <f>IF(F662=0,"",J662*I662)</f>
        <v>3.69</v>
      </c>
      <c r="L662" s="36">
        <f t="shared" si="579"/>
        <v>83</v>
      </c>
      <c r="M662" s="37">
        <v>0.5</v>
      </c>
      <c r="N662" s="37">
        <f>IF(F662=0,"",M662*I662)</f>
        <v>0.5</v>
      </c>
      <c r="O662" s="35">
        <f>IF(F662=0,"",N662*L662)</f>
        <v>41.5</v>
      </c>
      <c r="P662" s="38">
        <f>IF(F662=0,"",K662+O662)</f>
        <v>45.19</v>
      </c>
      <c r="Q662" s="2"/>
    </row>
    <row r="663" spans="1:17" x14ac:dyDescent="0.25">
      <c r="A663" s="122" t="str">
        <f>IF(TRIM(G663)&lt;&gt;"",COUNTA(G$7:$G663)&amp;"","")</f>
        <v>533</v>
      </c>
      <c r="B663" s="123"/>
      <c r="C663" s="123"/>
      <c r="D663" s="222"/>
      <c r="E663" s="104" t="s">
        <v>823</v>
      </c>
      <c r="F663" s="224">
        <v>2</v>
      </c>
      <c r="G663" s="125" t="s">
        <v>250</v>
      </c>
      <c r="H663" s="33">
        <v>0</v>
      </c>
      <c r="I663" s="82">
        <f t="shared" si="576"/>
        <v>2</v>
      </c>
      <c r="J663" s="225">
        <v>5.5</v>
      </c>
      <c r="K663" s="35">
        <f t="shared" si="578"/>
        <v>11</v>
      </c>
      <c r="L663" s="36">
        <f t="shared" si="579"/>
        <v>83</v>
      </c>
      <c r="M663" s="37">
        <v>0.57999999999999996</v>
      </c>
      <c r="N663" s="37">
        <f t="shared" si="581"/>
        <v>1.1599999999999999</v>
      </c>
      <c r="O663" s="35">
        <f t="shared" si="582"/>
        <v>96.279999999999987</v>
      </c>
      <c r="P663" s="38">
        <f t="shared" si="583"/>
        <v>107.27999999999999</v>
      </c>
      <c r="Q663" s="2"/>
    </row>
    <row r="664" spans="1:17" x14ac:dyDescent="0.25">
      <c r="A664" s="122" t="str">
        <f>IF(TRIM(G664)&lt;&gt;"",COUNTA(G$7:$G664)&amp;"","")</f>
        <v>534</v>
      </c>
      <c r="B664" s="123"/>
      <c r="C664" s="123"/>
      <c r="D664" s="222"/>
      <c r="E664" s="220" t="s">
        <v>824</v>
      </c>
      <c r="F664" s="224">
        <v>1</v>
      </c>
      <c r="G664" s="125" t="s">
        <v>250</v>
      </c>
      <c r="H664" s="33">
        <v>0</v>
      </c>
      <c r="I664" s="82">
        <f t="shared" si="576"/>
        <v>1</v>
      </c>
      <c r="J664" s="225">
        <v>10.119999999999999</v>
      </c>
      <c r="K664" s="35">
        <f t="shared" si="578"/>
        <v>10.119999999999999</v>
      </c>
      <c r="L664" s="36">
        <f t="shared" si="579"/>
        <v>83</v>
      </c>
      <c r="M664" s="37">
        <v>0.69</v>
      </c>
      <c r="N664" s="37">
        <f t="shared" si="581"/>
        <v>0.69</v>
      </c>
      <c r="O664" s="35">
        <f t="shared" si="582"/>
        <v>57.269999999999996</v>
      </c>
      <c r="P664" s="38">
        <f t="shared" si="583"/>
        <v>67.39</v>
      </c>
      <c r="Q664" s="2"/>
    </row>
    <row r="665" spans="1:17" x14ac:dyDescent="0.25">
      <c r="A665" s="122" t="str">
        <f>IF(TRIM(G665)&lt;&gt;"",COUNTA(G$7:$G665)&amp;"","")</f>
        <v>535</v>
      </c>
      <c r="B665" s="123"/>
      <c r="C665" s="123"/>
      <c r="D665" s="222"/>
      <c r="E665" s="104" t="s">
        <v>825</v>
      </c>
      <c r="F665" s="224">
        <v>1</v>
      </c>
      <c r="G665" s="125" t="s">
        <v>250</v>
      </c>
      <c r="H665" s="33">
        <v>0</v>
      </c>
      <c r="I665" s="82">
        <f t="shared" si="576"/>
        <v>1</v>
      </c>
      <c r="J665" s="225">
        <v>3.19</v>
      </c>
      <c r="K665" s="35">
        <f t="shared" si="578"/>
        <v>3.19</v>
      </c>
      <c r="L665" s="36">
        <f t="shared" si="579"/>
        <v>83</v>
      </c>
      <c r="M665" s="37">
        <v>0.61499999999999999</v>
      </c>
      <c r="N665" s="37">
        <f t="shared" si="581"/>
        <v>0.61499999999999999</v>
      </c>
      <c r="O665" s="35">
        <f t="shared" si="582"/>
        <v>51.045000000000002</v>
      </c>
      <c r="P665" s="38">
        <f t="shared" si="583"/>
        <v>54.234999999999999</v>
      </c>
      <c r="Q665" s="2"/>
    </row>
    <row r="666" spans="1:17" x14ac:dyDescent="0.25">
      <c r="A666" s="122" t="str">
        <f>IF(TRIM(G666)&lt;&gt;"",COUNTA(G$7:$G666)&amp;"","")</f>
        <v>536</v>
      </c>
      <c r="B666" s="123"/>
      <c r="C666" s="123"/>
      <c r="D666" s="222"/>
      <c r="E666" s="104" t="s">
        <v>826</v>
      </c>
      <c r="F666" s="224">
        <v>4</v>
      </c>
      <c r="G666" s="125" t="s">
        <v>250</v>
      </c>
      <c r="H666" s="33">
        <v>0</v>
      </c>
      <c r="I666" s="82">
        <f t="shared" si="576"/>
        <v>4</v>
      </c>
      <c r="J666" s="225">
        <v>9.2799999999999994</v>
      </c>
      <c r="K666" s="35">
        <f t="shared" si="578"/>
        <v>37.119999999999997</v>
      </c>
      <c r="L666" s="36">
        <f t="shared" si="579"/>
        <v>83</v>
      </c>
      <c r="M666" s="37">
        <v>0.66700000000000004</v>
      </c>
      <c r="N666" s="37">
        <f t="shared" si="581"/>
        <v>2.6680000000000001</v>
      </c>
      <c r="O666" s="35">
        <f t="shared" si="582"/>
        <v>221.44400000000002</v>
      </c>
      <c r="P666" s="38">
        <f t="shared" si="583"/>
        <v>258.56400000000002</v>
      </c>
      <c r="Q666" s="2"/>
    </row>
    <row r="667" spans="1:17" x14ac:dyDescent="0.25">
      <c r="A667" s="122" t="str">
        <f>IF(TRIM(G667)&lt;&gt;"",COUNTA(G$7:$G667)&amp;"","")</f>
        <v>537</v>
      </c>
      <c r="B667" s="123"/>
      <c r="C667" s="123"/>
      <c r="D667" s="222"/>
      <c r="E667" s="220" t="s">
        <v>827</v>
      </c>
      <c r="F667" s="224">
        <v>4</v>
      </c>
      <c r="G667" s="125" t="s">
        <v>250</v>
      </c>
      <c r="H667" s="33">
        <v>0</v>
      </c>
      <c r="I667" s="82">
        <f t="shared" si="576"/>
        <v>4</v>
      </c>
      <c r="J667" s="225">
        <v>10.23</v>
      </c>
      <c r="K667" s="35">
        <f t="shared" si="578"/>
        <v>40.92</v>
      </c>
      <c r="L667" s="36">
        <f t="shared" si="579"/>
        <v>83</v>
      </c>
      <c r="M667" s="37">
        <v>0.61</v>
      </c>
      <c r="N667" s="37">
        <f t="shared" si="581"/>
        <v>2.44</v>
      </c>
      <c r="O667" s="35">
        <f t="shared" si="582"/>
        <v>202.51999999999998</v>
      </c>
      <c r="P667" s="38">
        <f t="shared" si="583"/>
        <v>243.44</v>
      </c>
      <c r="Q667" s="2"/>
    </row>
    <row r="668" spans="1:17" x14ac:dyDescent="0.25">
      <c r="A668" s="122" t="str">
        <f>IF(TRIM(G668)&lt;&gt;"",COUNTA(G$7:$G668)&amp;"","")</f>
        <v>538</v>
      </c>
      <c r="B668" s="123"/>
      <c r="C668" s="123"/>
      <c r="D668" s="222"/>
      <c r="E668" s="220" t="s">
        <v>828</v>
      </c>
      <c r="F668" s="224">
        <v>3</v>
      </c>
      <c r="G668" s="125" t="s">
        <v>250</v>
      </c>
      <c r="H668" s="33">
        <v>0</v>
      </c>
      <c r="I668" s="82">
        <f t="shared" si="576"/>
        <v>3</v>
      </c>
      <c r="J668" s="225">
        <v>11.67</v>
      </c>
      <c r="K668" s="35">
        <f t="shared" si="578"/>
        <v>35.01</v>
      </c>
      <c r="L668" s="36">
        <f t="shared" si="579"/>
        <v>83</v>
      </c>
      <c r="M668" s="37">
        <v>0.63</v>
      </c>
      <c r="N668" s="37">
        <f t="shared" si="581"/>
        <v>1.8900000000000001</v>
      </c>
      <c r="O668" s="35">
        <f t="shared" si="582"/>
        <v>156.87</v>
      </c>
      <c r="P668" s="38">
        <f t="shared" si="583"/>
        <v>191.88</v>
      </c>
      <c r="Q668" s="2"/>
    </row>
    <row r="669" spans="1:17" x14ac:dyDescent="0.25">
      <c r="A669" s="122" t="str">
        <f>IF(TRIM(G669)&lt;&gt;"",COUNTA(G$7:$G669)&amp;"","")</f>
        <v>539</v>
      </c>
      <c r="B669" s="123"/>
      <c r="C669" s="123"/>
      <c r="D669" s="222"/>
      <c r="E669" s="220" t="s">
        <v>829</v>
      </c>
      <c r="F669" s="224">
        <v>1</v>
      </c>
      <c r="G669" s="125" t="s">
        <v>250</v>
      </c>
      <c r="H669" s="33">
        <v>0</v>
      </c>
      <c r="I669" s="82">
        <f t="shared" si="576"/>
        <v>1</v>
      </c>
      <c r="J669" s="225">
        <v>17.690000000000001</v>
      </c>
      <c r="K669" s="35">
        <f t="shared" si="578"/>
        <v>17.690000000000001</v>
      </c>
      <c r="L669" s="36">
        <f t="shared" si="579"/>
        <v>83</v>
      </c>
      <c r="M669" s="37">
        <v>0.7</v>
      </c>
      <c r="N669" s="37">
        <f t="shared" si="581"/>
        <v>0.7</v>
      </c>
      <c r="O669" s="35">
        <f t="shared" si="582"/>
        <v>58.099999999999994</v>
      </c>
      <c r="P669" s="38">
        <f t="shared" si="583"/>
        <v>75.789999999999992</v>
      </c>
      <c r="Q669" s="2"/>
    </row>
    <row r="670" spans="1:17" x14ac:dyDescent="0.25">
      <c r="A670" s="122" t="str">
        <f>IF(TRIM(G670)&lt;&gt;"",COUNTA(G$7:$G670)&amp;"","")</f>
        <v>540</v>
      </c>
      <c r="B670" s="123"/>
      <c r="C670" s="123"/>
      <c r="D670" s="222"/>
      <c r="E670" s="104" t="s">
        <v>830</v>
      </c>
      <c r="F670" s="224">
        <v>1</v>
      </c>
      <c r="G670" s="125" t="s">
        <v>250</v>
      </c>
      <c r="H670" s="33">
        <v>0</v>
      </c>
      <c r="I670" s="82">
        <f t="shared" si="576"/>
        <v>1</v>
      </c>
      <c r="J670" s="225">
        <v>13.37</v>
      </c>
      <c r="K670" s="35">
        <f t="shared" si="578"/>
        <v>13.37</v>
      </c>
      <c r="L670" s="36">
        <f t="shared" si="579"/>
        <v>83</v>
      </c>
      <c r="M670" s="37">
        <v>0.63</v>
      </c>
      <c r="N670" s="37">
        <f t="shared" si="581"/>
        <v>0.63</v>
      </c>
      <c r="O670" s="35">
        <f t="shared" si="582"/>
        <v>52.29</v>
      </c>
      <c r="P670" s="38">
        <f t="shared" si="583"/>
        <v>65.66</v>
      </c>
      <c r="Q670" s="2"/>
    </row>
    <row r="671" spans="1:17" x14ac:dyDescent="0.25">
      <c r="A671" s="122" t="str">
        <f>IF(TRIM(G671)&lt;&gt;"",COUNTA(G$7:$G671)&amp;"","")</f>
        <v>541</v>
      </c>
      <c r="B671" s="123"/>
      <c r="C671" s="123"/>
      <c r="D671" s="222"/>
      <c r="E671" s="104" t="s">
        <v>831</v>
      </c>
      <c r="F671" s="224">
        <v>4</v>
      </c>
      <c r="G671" s="125" t="s">
        <v>250</v>
      </c>
      <c r="H671" s="33">
        <v>0</v>
      </c>
      <c r="I671" s="82">
        <f t="shared" si="576"/>
        <v>4</v>
      </c>
      <c r="J671" s="225">
        <v>14.69</v>
      </c>
      <c r="K671" s="35">
        <f t="shared" si="578"/>
        <v>58.76</v>
      </c>
      <c r="L671" s="36">
        <f t="shared" si="579"/>
        <v>83</v>
      </c>
      <c r="M671" s="37">
        <v>0.65</v>
      </c>
      <c r="N671" s="37">
        <f t="shared" si="581"/>
        <v>2.6</v>
      </c>
      <c r="O671" s="35">
        <f t="shared" si="582"/>
        <v>215.8</v>
      </c>
      <c r="P671" s="38">
        <f t="shared" si="583"/>
        <v>274.56</v>
      </c>
      <c r="Q671" s="2"/>
    </row>
    <row r="672" spans="1:17" x14ac:dyDescent="0.25">
      <c r="A672" s="122" t="str">
        <f>IF(TRIM(G672)&lt;&gt;"",COUNTA(G$7:$G672)&amp;"","")</f>
        <v>542</v>
      </c>
      <c r="B672" s="123"/>
      <c r="C672" s="123"/>
      <c r="D672" s="222"/>
      <c r="E672" s="104" t="s">
        <v>832</v>
      </c>
      <c r="F672" s="224">
        <v>1</v>
      </c>
      <c r="G672" s="125" t="s">
        <v>250</v>
      </c>
      <c r="H672" s="33">
        <v>0</v>
      </c>
      <c r="I672" s="82">
        <f t="shared" si="576"/>
        <v>1</v>
      </c>
      <c r="J672" s="225">
        <v>15.87</v>
      </c>
      <c r="K672" s="35">
        <f t="shared" si="578"/>
        <v>15.87</v>
      </c>
      <c r="L672" s="36">
        <f t="shared" si="579"/>
        <v>83</v>
      </c>
      <c r="M672" s="37">
        <v>0.67</v>
      </c>
      <c r="N672" s="37">
        <f t="shared" si="581"/>
        <v>0.67</v>
      </c>
      <c r="O672" s="35">
        <f t="shared" si="582"/>
        <v>55.610000000000007</v>
      </c>
      <c r="P672" s="38">
        <f t="shared" si="583"/>
        <v>71.48</v>
      </c>
      <c r="Q672" s="2"/>
    </row>
    <row r="673" spans="1:17" x14ac:dyDescent="0.25">
      <c r="A673" s="122" t="str">
        <f>IF(TRIM(G673)&lt;&gt;"",COUNTA(G$7:$G673)&amp;"","")</f>
        <v>543</v>
      </c>
      <c r="B673" s="123"/>
      <c r="C673" s="123"/>
      <c r="D673" s="222"/>
      <c r="E673" s="104" t="s">
        <v>833</v>
      </c>
      <c r="F673" s="224">
        <v>2</v>
      </c>
      <c r="G673" s="125" t="s">
        <v>250</v>
      </c>
      <c r="H673" s="33">
        <v>0</v>
      </c>
      <c r="I673" s="82">
        <f t="shared" si="576"/>
        <v>2</v>
      </c>
      <c r="J673" s="225">
        <v>18.88</v>
      </c>
      <c r="K673" s="35">
        <f t="shared" si="578"/>
        <v>37.76</v>
      </c>
      <c r="L673" s="36">
        <f t="shared" si="579"/>
        <v>83</v>
      </c>
      <c r="M673" s="37">
        <v>0.69</v>
      </c>
      <c r="N673" s="37">
        <f t="shared" si="581"/>
        <v>1.38</v>
      </c>
      <c r="O673" s="35">
        <f t="shared" si="582"/>
        <v>114.53999999999999</v>
      </c>
      <c r="P673" s="38">
        <f t="shared" si="583"/>
        <v>152.29999999999998</v>
      </c>
      <c r="Q673" s="2"/>
    </row>
    <row r="674" spans="1:17" x14ac:dyDescent="0.25">
      <c r="A674" s="122" t="str">
        <f>IF(TRIM(G674)&lt;&gt;"",COUNTA(G$7:$G674)&amp;"","")</f>
        <v>544</v>
      </c>
      <c r="B674" s="123"/>
      <c r="C674" s="123"/>
      <c r="D674" s="222"/>
      <c r="E674" s="220" t="s">
        <v>834</v>
      </c>
      <c r="F674" s="224">
        <v>18</v>
      </c>
      <c r="G674" s="125" t="s">
        <v>250</v>
      </c>
      <c r="H674" s="33">
        <v>0</v>
      </c>
      <c r="I674" s="82">
        <f>IF(F674=0,"",F674+(F674*H674))</f>
        <v>18</v>
      </c>
      <c r="J674" s="225">
        <v>38.103999999999999</v>
      </c>
      <c r="K674" s="35">
        <f>IF(F674=0,"",J674*I674)</f>
        <v>685.87199999999996</v>
      </c>
      <c r="L674" s="36">
        <f t="shared" si="579"/>
        <v>83</v>
      </c>
      <c r="M674" s="37">
        <v>0.81899999999999995</v>
      </c>
      <c r="N674" s="37">
        <f>IF(F674=0,"",M674*I674)</f>
        <v>14.741999999999999</v>
      </c>
      <c r="O674" s="35">
        <f>IF(F674=0,"",N674*L674)</f>
        <v>1223.586</v>
      </c>
      <c r="P674" s="38">
        <f>IF(F674=0,"",K674+O674)</f>
        <v>1909.4580000000001</v>
      </c>
      <c r="Q674" s="2"/>
    </row>
    <row r="675" spans="1:17" x14ac:dyDescent="0.25">
      <c r="A675" s="122" t="str">
        <f>IF(TRIM(G675)&lt;&gt;"",COUNTA(G$7:$G675)&amp;"","")</f>
        <v>545</v>
      </c>
      <c r="B675" s="123"/>
      <c r="C675" s="123"/>
      <c r="D675" s="222"/>
      <c r="E675" s="104" t="s">
        <v>835</v>
      </c>
      <c r="F675" s="224">
        <v>1</v>
      </c>
      <c r="G675" s="125" t="s">
        <v>250</v>
      </c>
      <c r="H675" s="33">
        <v>0</v>
      </c>
      <c r="I675" s="82">
        <f>IF(F675=0,"",F675+(F675*H675))</f>
        <v>1</v>
      </c>
      <c r="J675" s="225">
        <v>41.29</v>
      </c>
      <c r="K675" s="35">
        <f>IF(F675=0,"",J675*I675)</f>
        <v>41.29</v>
      </c>
      <c r="L675" s="36">
        <f t="shared" si="579"/>
        <v>83</v>
      </c>
      <c r="M675" s="37">
        <v>0.79</v>
      </c>
      <c r="N675" s="37">
        <f>IF(F675=0,"",M675*I675)</f>
        <v>0.79</v>
      </c>
      <c r="O675" s="35">
        <f>IF(F675=0,"",N675*L675)</f>
        <v>65.570000000000007</v>
      </c>
      <c r="P675" s="38">
        <f>IF(F675=0,"",K675+O675)</f>
        <v>106.86000000000001</v>
      </c>
      <c r="Q675" s="2"/>
    </row>
    <row r="676" spans="1:17" x14ac:dyDescent="0.25">
      <c r="A676" s="122" t="str">
        <f>IF(TRIM(G676)&lt;&gt;"",COUNTA(G$7:$G676)&amp;"","")</f>
        <v>546</v>
      </c>
      <c r="B676" s="123"/>
      <c r="C676" s="123"/>
      <c r="D676" s="222"/>
      <c r="E676" s="220" t="s">
        <v>836</v>
      </c>
      <c r="F676" s="224">
        <v>5</v>
      </c>
      <c r="G676" s="125" t="s">
        <v>250</v>
      </c>
      <c r="H676" s="33">
        <v>0</v>
      </c>
      <c r="I676" s="82">
        <f>IF(F676=0,"",F676+(F676*H676))</f>
        <v>5</v>
      </c>
      <c r="J676" s="225">
        <v>44.69</v>
      </c>
      <c r="K676" s="35">
        <f>IF(F676=0,"",J676*I676)</f>
        <v>223.45</v>
      </c>
      <c r="L676" s="36">
        <f t="shared" si="579"/>
        <v>83</v>
      </c>
      <c r="M676" s="37">
        <v>0.88</v>
      </c>
      <c r="N676" s="37">
        <f>IF(F676=0,"",M676*I676)</f>
        <v>4.4000000000000004</v>
      </c>
      <c r="O676" s="35">
        <f>IF(F676=0,"",N676*L676)</f>
        <v>365.20000000000005</v>
      </c>
      <c r="P676" s="38">
        <f>IF(F676=0,"",K676+O676)</f>
        <v>588.65000000000009</v>
      </c>
      <c r="Q676" s="2"/>
    </row>
    <row r="677" spans="1:17" x14ac:dyDescent="0.25">
      <c r="A677" s="122" t="str">
        <f>IF(TRIM(G677)&lt;&gt;"",COUNTA(G$7:$G677)&amp;"","")</f>
        <v>547</v>
      </c>
      <c r="B677" s="123"/>
      <c r="C677" s="123"/>
      <c r="D677" s="222"/>
      <c r="E677" s="104" t="s">
        <v>837</v>
      </c>
      <c r="F677" s="224">
        <v>1</v>
      </c>
      <c r="G677" s="125" t="s">
        <v>250</v>
      </c>
      <c r="H677" s="33">
        <v>0</v>
      </c>
      <c r="I677" s="82">
        <f t="shared" si="576"/>
        <v>1</v>
      </c>
      <c r="J677" s="225">
        <v>57.9</v>
      </c>
      <c r="K677" s="35">
        <f t="shared" si="578"/>
        <v>57.9</v>
      </c>
      <c r="L677" s="36">
        <f t="shared" si="579"/>
        <v>83</v>
      </c>
      <c r="M677" s="37">
        <v>0.91</v>
      </c>
      <c r="N677" s="37">
        <f t="shared" si="581"/>
        <v>0.91</v>
      </c>
      <c r="O677" s="35">
        <f t="shared" si="582"/>
        <v>75.53</v>
      </c>
      <c r="P677" s="38">
        <f t="shared" si="583"/>
        <v>133.43</v>
      </c>
      <c r="Q677" s="2"/>
    </row>
    <row r="678" spans="1:17" x14ac:dyDescent="0.25">
      <c r="A678" s="122" t="str">
        <f>IF(TRIM(G678)&lt;&gt;"",COUNTA(G$7:$G678)&amp;"","")</f>
        <v>548</v>
      </c>
      <c r="B678" s="123"/>
      <c r="C678" s="123"/>
      <c r="D678" s="222"/>
      <c r="E678" s="220" t="s">
        <v>838</v>
      </c>
      <c r="F678" s="224">
        <v>6</v>
      </c>
      <c r="G678" s="125" t="s">
        <v>250</v>
      </c>
      <c r="H678" s="33">
        <v>0</v>
      </c>
      <c r="I678" s="82">
        <f t="shared" si="576"/>
        <v>6</v>
      </c>
      <c r="J678" s="225">
        <v>60.23</v>
      </c>
      <c r="K678" s="35">
        <f t="shared" si="578"/>
        <v>361.38</v>
      </c>
      <c r="L678" s="36">
        <f t="shared" si="579"/>
        <v>83</v>
      </c>
      <c r="M678" s="37">
        <v>0.84</v>
      </c>
      <c r="N678" s="37">
        <f t="shared" si="581"/>
        <v>5.04</v>
      </c>
      <c r="O678" s="35">
        <f t="shared" si="582"/>
        <v>418.32</v>
      </c>
      <c r="P678" s="38">
        <f t="shared" si="583"/>
        <v>779.7</v>
      </c>
      <c r="Q678" s="2"/>
    </row>
    <row r="679" spans="1:17" x14ac:dyDescent="0.25">
      <c r="A679" s="122" t="str">
        <f>IF(TRIM(G679)&lt;&gt;"",COUNTA(G$7:$G679)&amp;"","")</f>
        <v>549</v>
      </c>
      <c r="B679" s="123"/>
      <c r="C679" s="123"/>
      <c r="D679" s="222"/>
      <c r="E679" s="104" t="s">
        <v>839</v>
      </c>
      <c r="F679" s="224">
        <v>2</v>
      </c>
      <c r="G679" s="125" t="s">
        <v>250</v>
      </c>
      <c r="H679" s="33">
        <v>0</v>
      </c>
      <c r="I679" s="82">
        <f t="shared" si="576"/>
        <v>2</v>
      </c>
      <c r="J679" s="225">
        <v>91.9</v>
      </c>
      <c r="K679" s="35">
        <f t="shared" si="578"/>
        <v>183.8</v>
      </c>
      <c r="L679" s="36">
        <f t="shared" si="579"/>
        <v>83</v>
      </c>
      <c r="M679" s="37">
        <v>1.04</v>
      </c>
      <c r="N679" s="37">
        <f t="shared" si="581"/>
        <v>2.08</v>
      </c>
      <c r="O679" s="35">
        <f t="shared" si="582"/>
        <v>172.64000000000001</v>
      </c>
      <c r="P679" s="38">
        <f t="shared" si="583"/>
        <v>356.44000000000005</v>
      </c>
      <c r="Q679" s="2"/>
    </row>
    <row r="680" spans="1:17" x14ac:dyDescent="0.25">
      <c r="A680" s="122" t="str">
        <f>IF(TRIM(G680)&lt;&gt;"",COUNTA(G$7:$G680)&amp;"","")</f>
        <v/>
      </c>
      <c r="B680" s="123"/>
      <c r="C680" s="123"/>
      <c r="D680" s="222"/>
      <c r="E680" s="104"/>
      <c r="F680" s="224"/>
      <c r="G680" s="125"/>
      <c r="H680" s="33"/>
      <c r="I680" s="82" t="str">
        <f t="shared" si="576"/>
        <v/>
      </c>
      <c r="J680" s="225"/>
      <c r="K680" s="35" t="str">
        <f t="shared" si="578"/>
        <v/>
      </c>
      <c r="L680" s="36" t="str">
        <f t="shared" si="579"/>
        <v/>
      </c>
      <c r="M680" s="37"/>
      <c r="N680" s="37" t="str">
        <f t="shared" si="581"/>
        <v/>
      </c>
      <c r="O680" s="35" t="str">
        <f t="shared" si="582"/>
        <v/>
      </c>
      <c r="P680" s="38" t="str">
        <f t="shared" si="583"/>
        <v/>
      </c>
      <c r="Q680" s="2"/>
    </row>
    <row r="681" spans="1:17" x14ac:dyDescent="0.25">
      <c r="A681" s="122" t="str">
        <f>IF(TRIM(G681)&lt;&gt;"",COUNTA(G$7:$G681)&amp;"","")</f>
        <v/>
      </c>
      <c r="B681" s="123"/>
      <c r="C681" s="123"/>
      <c r="D681" s="222"/>
      <c r="E681" s="226" t="s">
        <v>785</v>
      </c>
      <c r="F681" s="224"/>
      <c r="G681" s="125"/>
      <c r="H681" s="33"/>
      <c r="I681" s="82" t="str">
        <f t="shared" si="576"/>
        <v/>
      </c>
      <c r="J681" s="225"/>
      <c r="K681" s="35" t="str">
        <f t="shared" si="578"/>
        <v/>
      </c>
      <c r="L681" s="36" t="str">
        <f t="shared" si="579"/>
        <v/>
      </c>
      <c r="M681" s="37"/>
      <c r="N681" s="37" t="str">
        <f t="shared" si="581"/>
        <v/>
      </c>
      <c r="O681" s="35" t="str">
        <f t="shared" si="582"/>
        <v/>
      </c>
      <c r="P681" s="38" t="str">
        <f t="shared" si="583"/>
        <v/>
      </c>
      <c r="Q681" s="2"/>
    </row>
    <row r="682" spans="1:17" x14ac:dyDescent="0.25">
      <c r="A682" s="122" t="str">
        <f>IF(TRIM(G682)&lt;&gt;"",COUNTA(G$7:$G682)&amp;"","")</f>
        <v>550</v>
      </c>
      <c r="B682" s="123"/>
      <c r="C682" s="123"/>
      <c r="D682" s="222"/>
      <c r="E682" s="104" t="s">
        <v>840</v>
      </c>
      <c r="F682" s="224">
        <v>1</v>
      </c>
      <c r="G682" s="125" t="s">
        <v>250</v>
      </c>
      <c r="H682" s="33">
        <v>0</v>
      </c>
      <c r="I682" s="82">
        <f t="shared" si="576"/>
        <v>1</v>
      </c>
      <c r="J682" s="225">
        <v>22</v>
      </c>
      <c r="K682" s="35">
        <f t="shared" si="578"/>
        <v>22</v>
      </c>
      <c r="L682" s="36">
        <f t="shared" si="579"/>
        <v>83</v>
      </c>
      <c r="M682" s="37">
        <v>0.44</v>
      </c>
      <c r="N682" s="37">
        <f t="shared" si="581"/>
        <v>0.44</v>
      </c>
      <c r="O682" s="35">
        <f t="shared" si="582"/>
        <v>36.520000000000003</v>
      </c>
      <c r="P682" s="38">
        <f t="shared" si="583"/>
        <v>58.52</v>
      </c>
      <c r="Q682" s="2"/>
    </row>
    <row r="683" spans="1:17" x14ac:dyDescent="0.25">
      <c r="A683" s="122" t="str">
        <f>IF(TRIM(G683)&lt;&gt;"",COUNTA(G$7:$G683)&amp;"","")</f>
        <v>551</v>
      </c>
      <c r="B683" s="123"/>
      <c r="C683" s="123"/>
      <c r="D683" s="222"/>
      <c r="E683" s="104" t="s">
        <v>841</v>
      </c>
      <c r="F683" s="224">
        <v>3</v>
      </c>
      <c r="G683" s="125" t="s">
        <v>250</v>
      </c>
      <c r="H683" s="33">
        <v>0</v>
      </c>
      <c r="I683" s="82">
        <f t="shared" si="576"/>
        <v>3</v>
      </c>
      <c r="J683" s="225">
        <v>27.3</v>
      </c>
      <c r="K683" s="35">
        <f t="shared" si="578"/>
        <v>81.900000000000006</v>
      </c>
      <c r="L683" s="36">
        <f t="shared" si="579"/>
        <v>83</v>
      </c>
      <c r="M683" s="37">
        <v>0.51</v>
      </c>
      <c r="N683" s="37">
        <f>IF(F683=0,"",M683*I683)</f>
        <v>1.53</v>
      </c>
      <c r="O683" s="35">
        <f>IF(F683=0,"",N683*L683)</f>
        <v>126.99000000000001</v>
      </c>
      <c r="P683" s="38">
        <f>IF(F683=0,"",K683+O683)</f>
        <v>208.89000000000001</v>
      </c>
      <c r="Q683" s="2"/>
    </row>
    <row r="684" spans="1:17" x14ac:dyDescent="0.25">
      <c r="A684" s="122" t="str">
        <f>IF(TRIM(G684)&lt;&gt;"",COUNTA(G$7:$G684)&amp;"","")</f>
        <v>552</v>
      </c>
      <c r="B684" s="123"/>
      <c r="C684" s="123"/>
      <c r="D684" s="222"/>
      <c r="E684" s="220" t="s">
        <v>842</v>
      </c>
      <c r="F684" s="224">
        <v>2</v>
      </c>
      <c r="G684" s="125" t="s">
        <v>250</v>
      </c>
      <c r="H684" s="33">
        <v>0</v>
      </c>
      <c r="I684" s="82">
        <f>IF(F684=0,"",F684+(F684*H684))</f>
        <v>2</v>
      </c>
      <c r="J684" s="225">
        <v>119.21</v>
      </c>
      <c r="K684" s="35">
        <f>IF(F684=0,"",J684*I684)</f>
        <v>238.42</v>
      </c>
      <c r="L684" s="36">
        <f t="shared" si="579"/>
        <v>83</v>
      </c>
      <c r="M684" s="37">
        <v>0.63</v>
      </c>
      <c r="N684" s="37">
        <f>IF(F684=0,"",M684*I684)</f>
        <v>1.26</v>
      </c>
      <c r="O684" s="35">
        <f>IF(F684=0,"",N684*L684)</f>
        <v>104.58</v>
      </c>
      <c r="P684" s="38">
        <f>IF(F684=0,"",K684+O684)</f>
        <v>343</v>
      </c>
      <c r="Q684" s="2"/>
    </row>
    <row r="685" spans="1:17" x14ac:dyDescent="0.25">
      <c r="A685" s="122" t="str">
        <f>IF(TRIM(G685)&lt;&gt;"",COUNTA(G$7:$G685)&amp;"","")</f>
        <v>553</v>
      </c>
      <c r="B685" s="123"/>
      <c r="C685" s="123"/>
      <c r="D685" s="222"/>
      <c r="E685" s="220" t="s">
        <v>843</v>
      </c>
      <c r="F685" s="224">
        <v>1</v>
      </c>
      <c r="G685" s="125" t="s">
        <v>250</v>
      </c>
      <c r="H685" s="33">
        <v>0</v>
      </c>
      <c r="I685" s="82">
        <f>IF(F685=0,"",F685+(F685*H685))</f>
        <v>1</v>
      </c>
      <c r="J685" s="225">
        <v>15.73</v>
      </c>
      <c r="K685" s="35">
        <f>IF(F685=0,"",J685*I685)</f>
        <v>15.73</v>
      </c>
      <c r="L685" s="36">
        <f t="shared" si="579"/>
        <v>83</v>
      </c>
      <c r="M685" s="37">
        <v>0.44</v>
      </c>
      <c r="N685" s="37">
        <f t="shared" si="581"/>
        <v>0.44</v>
      </c>
      <c r="O685" s="35">
        <f t="shared" si="582"/>
        <v>36.520000000000003</v>
      </c>
      <c r="P685" s="38">
        <f t="shared" si="583"/>
        <v>52.25</v>
      </c>
      <c r="Q685" s="2"/>
    </row>
    <row r="686" spans="1:17" x14ac:dyDescent="0.25">
      <c r="A686" s="122" t="str">
        <f>IF(TRIM(G686)&lt;&gt;"",COUNTA(G$7:$G686)&amp;"","")</f>
        <v>554</v>
      </c>
      <c r="B686" s="123"/>
      <c r="C686" s="123"/>
      <c r="D686" s="222"/>
      <c r="E686" s="104" t="s">
        <v>844</v>
      </c>
      <c r="F686" s="224">
        <v>3</v>
      </c>
      <c r="G686" s="125" t="s">
        <v>250</v>
      </c>
      <c r="H686" s="33">
        <v>0</v>
      </c>
      <c r="I686" s="82">
        <f t="shared" ref="I686:I688" si="594">IF(F686=0,"",F686+(F686*H686))</f>
        <v>3</v>
      </c>
      <c r="J686" s="225">
        <v>18.489999999999998</v>
      </c>
      <c r="K686" s="35">
        <f t="shared" ref="K686:K688" si="595">IF(F686=0,"",J686*I686)</f>
        <v>55.47</v>
      </c>
      <c r="L686" s="36">
        <f t="shared" si="579"/>
        <v>83</v>
      </c>
      <c r="M686" s="37">
        <v>0.51</v>
      </c>
      <c r="N686" s="37">
        <f t="shared" si="581"/>
        <v>1.53</v>
      </c>
      <c r="O686" s="35">
        <f t="shared" si="582"/>
        <v>126.99000000000001</v>
      </c>
      <c r="P686" s="38">
        <f t="shared" si="583"/>
        <v>182.46</v>
      </c>
      <c r="Q686" s="2"/>
    </row>
    <row r="687" spans="1:17" x14ac:dyDescent="0.25">
      <c r="A687" s="122" t="str">
        <f>IF(TRIM(G687)&lt;&gt;"",COUNTA(G$7:$G687)&amp;"","")</f>
        <v>555</v>
      </c>
      <c r="B687" s="123"/>
      <c r="C687" s="123"/>
      <c r="D687" s="222"/>
      <c r="E687" s="104" t="s">
        <v>845</v>
      </c>
      <c r="F687" s="224">
        <v>2</v>
      </c>
      <c r="G687" s="125" t="s">
        <v>250</v>
      </c>
      <c r="H687" s="33">
        <v>0</v>
      </c>
      <c r="I687" s="82">
        <f t="shared" si="594"/>
        <v>2</v>
      </c>
      <c r="J687" s="225">
        <v>49.99</v>
      </c>
      <c r="K687" s="35">
        <f t="shared" si="595"/>
        <v>99.98</v>
      </c>
      <c r="L687" s="36">
        <f t="shared" si="579"/>
        <v>83</v>
      </c>
      <c r="M687" s="37">
        <v>0.63</v>
      </c>
      <c r="N687" s="37">
        <f t="shared" si="581"/>
        <v>1.26</v>
      </c>
      <c r="O687" s="35">
        <f t="shared" si="582"/>
        <v>104.58</v>
      </c>
      <c r="P687" s="38">
        <f t="shared" si="583"/>
        <v>204.56</v>
      </c>
      <c r="Q687" s="2"/>
    </row>
    <row r="688" spans="1:17" x14ac:dyDescent="0.25">
      <c r="A688" s="122" t="str">
        <f>IF(TRIM(G688)&lt;&gt;"",COUNTA(G$7:$G688)&amp;"","")</f>
        <v>556</v>
      </c>
      <c r="B688" s="123"/>
      <c r="C688" s="123"/>
      <c r="D688" s="222"/>
      <c r="E688" s="104" t="s">
        <v>846</v>
      </c>
      <c r="F688" s="224">
        <v>1</v>
      </c>
      <c r="G688" s="125" t="s">
        <v>250</v>
      </c>
      <c r="H688" s="33">
        <v>0</v>
      </c>
      <c r="I688" s="82">
        <f t="shared" si="594"/>
        <v>1</v>
      </c>
      <c r="J688" s="225">
        <v>61.13</v>
      </c>
      <c r="K688" s="35">
        <f t="shared" si="595"/>
        <v>61.13</v>
      </c>
      <c r="L688" s="36">
        <f t="shared" si="579"/>
        <v>83</v>
      </c>
      <c r="M688" s="37">
        <v>0.88900000000000001</v>
      </c>
      <c r="N688" s="37">
        <f t="shared" si="581"/>
        <v>0.88900000000000001</v>
      </c>
      <c r="O688" s="35">
        <f t="shared" si="582"/>
        <v>73.787000000000006</v>
      </c>
      <c r="P688" s="38">
        <f t="shared" si="583"/>
        <v>134.917</v>
      </c>
      <c r="Q688" s="2"/>
    </row>
    <row r="689" spans="1:17" x14ac:dyDescent="0.25">
      <c r="A689" s="122" t="str">
        <f>IF(TRIM(G689)&lt;&gt;"",COUNTA(G$7:$G689)&amp;"","")</f>
        <v>557</v>
      </c>
      <c r="B689" s="123"/>
      <c r="C689" s="123"/>
      <c r="D689" s="222"/>
      <c r="E689" s="104" t="s">
        <v>847</v>
      </c>
      <c r="F689" s="224">
        <v>1</v>
      </c>
      <c r="G689" s="125" t="s">
        <v>250</v>
      </c>
      <c r="H689" s="33">
        <v>0</v>
      </c>
      <c r="I689" s="82">
        <f t="shared" si="576"/>
        <v>1</v>
      </c>
      <c r="J689" s="225">
        <v>911.07</v>
      </c>
      <c r="K689" s="35">
        <f t="shared" si="578"/>
        <v>911.07</v>
      </c>
      <c r="L689" s="36">
        <f t="shared" si="579"/>
        <v>83</v>
      </c>
      <c r="M689" s="37">
        <v>1.143</v>
      </c>
      <c r="N689" s="37">
        <f t="shared" si="581"/>
        <v>1.143</v>
      </c>
      <c r="O689" s="35">
        <f t="shared" si="582"/>
        <v>94.869</v>
      </c>
      <c r="P689" s="38">
        <f t="shared" si="583"/>
        <v>1005.9390000000001</v>
      </c>
      <c r="Q689" s="2"/>
    </row>
    <row r="690" spans="1:17" x14ac:dyDescent="0.25">
      <c r="A690" s="122" t="str">
        <f>IF(TRIM(G690)&lt;&gt;"",COUNTA(G$7:$G690)&amp;"","")</f>
        <v>558</v>
      </c>
      <c r="B690" s="123"/>
      <c r="C690" s="123"/>
      <c r="D690" s="222"/>
      <c r="E690" s="220" t="s">
        <v>848</v>
      </c>
      <c r="F690" s="224">
        <v>1</v>
      </c>
      <c r="G690" s="125" t="s">
        <v>250</v>
      </c>
      <c r="H690" s="33">
        <v>0</v>
      </c>
      <c r="I690" s="82">
        <f>IF(F690=0,"",F690+(F690*H690))</f>
        <v>1</v>
      </c>
      <c r="J690" s="225">
        <v>981.2</v>
      </c>
      <c r="K690" s="35">
        <f>IF(F690=0,"",J690*I690)</f>
        <v>981.2</v>
      </c>
      <c r="L690" s="36">
        <f t="shared" si="579"/>
        <v>83</v>
      </c>
      <c r="M690" s="37">
        <v>0.72699999999999998</v>
      </c>
      <c r="N690" s="37">
        <f t="shared" si="581"/>
        <v>0.72699999999999998</v>
      </c>
      <c r="O690" s="35">
        <f t="shared" si="582"/>
        <v>60.341000000000001</v>
      </c>
      <c r="P690" s="38">
        <f t="shared" si="583"/>
        <v>1041.5409999999999</v>
      </c>
      <c r="Q690" s="2"/>
    </row>
    <row r="691" spans="1:17" x14ac:dyDescent="0.25">
      <c r="A691" s="122" t="str">
        <f>IF(TRIM(G691)&lt;&gt;"",COUNTA(G$7:$G691)&amp;"","")</f>
        <v>559</v>
      </c>
      <c r="B691" s="123"/>
      <c r="C691" s="123"/>
      <c r="D691" s="222"/>
      <c r="E691" s="220" t="s">
        <v>849</v>
      </c>
      <c r="F691" s="224">
        <v>10</v>
      </c>
      <c r="G691" s="125" t="s">
        <v>250</v>
      </c>
      <c r="H691" s="33">
        <v>0</v>
      </c>
      <c r="I691" s="82">
        <f t="shared" ref="I691:I694" si="596">IF(F691=0,"",F691+(F691*H691))</f>
        <v>10</v>
      </c>
      <c r="J691" s="225">
        <v>44</v>
      </c>
      <c r="K691" s="35">
        <f t="shared" ref="K691:K694" si="597">IF(F691=0,"",J691*I691)</f>
        <v>440</v>
      </c>
      <c r="L691" s="36">
        <f t="shared" si="579"/>
        <v>83</v>
      </c>
      <c r="M691" s="37">
        <v>0.55000000000000004</v>
      </c>
      <c r="N691" s="37">
        <f t="shared" si="581"/>
        <v>5.5</v>
      </c>
      <c r="O691" s="35">
        <f t="shared" si="582"/>
        <v>456.5</v>
      </c>
      <c r="P691" s="38">
        <f t="shared" si="583"/>
        <v>896.5</v>
      </c>
      <c r="Q691" s="2"/>
    </row>
    <row r="692" spans="1:17" x14ac:dyDescent="0.25">
      <c r="A692" s="122" t="str">
        <f>IF(TRIM(G692)&lt;&gt;"",COUNTA(G$7:$G692)&amp;"","")</f>
        <v/>
      </c>
      <c r="B692" s="123"/>
      <c r="C692" s="123"/>
      <c r="D692" s="222"/>
      <c r="E692" s="220"/>
      <c r="F692" s="224"/>
      <c r="G692" s="125"/>
      <c r="H692" s="33"/>
      <c r="I692" s="82" t="str">
        <f t="shared" si="596"/>
        <v/>
      </c>
      <c r="J692" s="225"/>
      <c r="K692" s="35" t="str">
        <f t="shared" si="597"/>
        <v/>
      </c>
      <c r="L692" s="36" t="str">
        <f t="shared" si="579"/>
        <v/>
      </c>
      <c r="M692" s="37"/>
      <c r="N692" s="37" t="str">
        <f t="shared" si="581"/>
        <v/>
      </c>
      <c r="O692" s="35" t="str">
        <f t="shared" si="582"/>
        <v/>
      </c>
      <c r="P692" s="38" t="str">
        <f t="shared" si="583"/>
        <v/>
      </c>
      <c r="Q692" s="2"/>
    </row>
    <row r="693" spans="1:17" x14ac:dyDescent="0.25">
      <c r="A693" s="122" t="str">
        <f>IF(TRIM(G693)&lt;&gt;"",COUNTA(G$7:$G693)&amp;"","")</f>
        <v/>
      </c>
      <c r="B693" s="123"/>
      <c r="C693" s="123"/>
      <c r="D693" s="222"/>
      <c r="E693" s="223" t="s">
        <v>850</v>
      </c>
      <c r="F693" s="224"/>
      <c r="G693" s="125"/>
      <c r="H693" s="33"/>
      <c r="I693" s="82" t="str">
        <f t="shared" si="596"/>
        <v/>
      </c>
      <c r="J693" s="225"/>
      <c r="K693" s="35" t="str">
        <f t="shared" si="597"/>
        <v/>
      </c>
      <c r="L693" s="36" t="str">
        <f t="shared" si="579"/>
        <v/>
      </c>
      <c r="M693" s="37"/>
      <c r="N693" s="37" t="str">
        <f t="shared" si="581"/>
        <v/>
      </c>
      <c r="O693" s="35" t="str">
        <f t="shared" si="582"/>
        <v/>
      </c>
      <c r="P693" s="38" t="str">
        <f t="shared" si="583"/>
        <v/>
      </c>
      <c r="Q693" s="2"/>
    </row>
    <row r="694" spans="1:17" x14ac:dyDescent="0.25">
      <c r="A694" s="122" t="str">
        <f>IF(TRIM(G694)&lt;&gt;"",COUNTA(G$7:$G694)&amp;"","")</f>
        <v/>
      </c>
      <c r="B694" s="123"/>
      <c r="C694" s="123"/>
      <c r="D694" s="222"/>
      <c r="E694" s="226" t="s">
        <v>851</v>
      </c>
      <c r="F694" s="224"/>
      <c r="G694" s="125"/>
      <c r="H694" s="33"/>
      <c r="I694" s="82" t="str">
        <f t="shared" si="596"/>
        <v/>
      </c>
      <c r="J694" s="225"/>
      <c r="K694" s="35" t="str">
        <f t="shared" si="597"/>
        <v/>
      </c>
      <c r="L694" s="36" t="str">
        <f t="shared" si="579"/>
        <v/>
      </c>
      <c r="M694" s="37"/>
      <c r="N694" s="37" t="str">
        <f t="shared" si="581"/>
        <v/>
      </c>
      <c r="O694" s="35" t="str">
        <f t="shared" si="582"/>
        <v/>
      </c>
      <c r="P694" s="38" t="str">
        <f t="shared" si="583"/>
        <v/>
      </c>
      <c r="Q694" s="2"/>
    </row>
    <row r="695" spans="1:17" x14ac:dyDescent="0.25">
      <c r="A695" s="122" t="str">
        <f>IF(TRIM(G695)&lt;&gt;"",COUNTA(G$7:$G695)&amp;"","")</f>
        <v>560</v>
      </c>
      <c r="B695" s="123"/>
      <c r="C695" s="123"/>
      <c r="D695" s="222"/>
      <c r="E695" s="104" t="s">
        <v>852</v>
      </c>
      <c r="F695" s="224">
        <v>17.899999999999999</v>
      </c>
      <c r="G695" s="125" t="s">
        <v>228</v>
      </c>
      <c r="H695" s="33">
        <v>0.1</v>
      </c>
      <c r="I695" s="82">
        <f>IF(F695=0,"",F695+(F695*H695))</f>
        <v>19.689999999999998</v>
      </c>
      <c r="J695" s="225">
        <v>7.63</v>
      </c>
      <c r="K695" s="35">
        <f>IF(F695=0,"",J695*I695)</f>
        <v>150.23469999999998</v>
      </c>
      <c r="L695" s="36">
        <f t="shared" si="579"/>
        <v>83</v>
      </c>
      <c r="M695" s="37">
        <v>0.19</v>
      </c>
      <c r="N695" s="37">
        <f>IF(F695=0,"",M695*I695)</f>
        <v>3.7410999999999994</v>
      </c>
      <c r="O695" s="35">
        <f>IF(F695=0,"",N695*L695)</f>
        <v>310.51129999999995</v>
      </c>
      <c r="P695" s="38">
        <f>IF(F695=0,"",K695+O695)</f>
        <v>460.74599999999992</v>
      </c>
      <c r="Q695" s="2"/>
    </row>
    <row r="696" spans="1:17" x14ac:dyDescent="0.25">
      <c r="A696" s="122" t="str">
        <f>IF(TRIM(G696)&lt;&gt;"",COUNTA(G$7:$G696)&amp;"","")</f>
        <v>561</v>
      </c>
      <c r="B696" s="123"/>
      <c r="C696" s="123"/>
      <c r="D696" s="222"/>
      <c r="E696" s="104" t="s">
        <v>853</v>
      </c>
      <c r="F696" s="224">
        <v>90.15</v>
      </c>
      <c r="G696" s="125" t="s">
        <v>228</v>
      </c>
      <c r="H696" s="33">
        <v>0.1</v>
      </c>
      <c r="I696" s="82">
        <f t="shared" ref="I696:I697" si="598">IF(F696=0,"",F696+(F696*H696))</f>
        <v>99.165000000000006</v>
      </c>
      <c r="J696" s="225">
        <v>5.79</v>
      </c>
      <c r="K696" s="35">
        <f t="shared" ref="K696" si="599">IF(F696=0,"",J696*I696)</f>
        <v>574.16534999999999</v>
      </c>
      <c r="L696" s="36">
        <f t="shared" si="579"/>
        <v>83</v>
      </c>
      <c r="M696" s="37">
        <v>0.27100000000000002</v>
      </c>
      <c r="N696" s="37">
        <f t="shared" ref="N696:N697" si="600">IF(F696=0,"",M696*I696)</f>
        <v>26.873715000000004</v>
      </c>
      <c r="O696" s="35">
        <f t="shared" ref="O696:O697" si="601">IF(F696=0,"",N696*L696)</f>
        <v>2230.5183450000004</v>
      </c>
      <c r="P696" s="38">
        <f t="shared" ref="P696:P697" si="602">IF(F696=0,"",K696+O696)</f>
        <v>2804.6836950000006</v>
      </c>
      <c r="Q696" s="2"/>
    </row>
    <row r="697" spans="1:17" x14ac:dyDescent="0.25">
      <c r="A697" s="122" t="str">
        <f>IF(TRIM(G697)&lt;&gt;"",COUNTA(G$7:$G697)&amp;"","")</f>
        <v>562</v>
      </c>
      <c r="B697" s="123"/>
      <c r="C697" s="123"/>
      <c r="D697" s="222"/>
      <c r="E697" s="104" t="s">
        <v>854</v>
      </c>
      <c r="F697" s="224">
        <v>351</v>
      </c>
      <c r="G697" s="125" t="s">
        <v>228</v>
      </c>
      <c r="H697" s="33">
        <v>0.1</v>
      </c>
      <c r="I697" s="82">
        <f t="shared" si="598"/>
        <v>386.1</v>
      </c>
      <c r="J697" s="225">
        <v>11.44</v>
      </c>
      <c r="K697" s="225">
        <v>11.44</v>
      </c>
      <c r="L697" s="36">
        <f t="shared" si="579"/>
        <v>83</v>
      </c>
      <c r="M697" s="37">
        <v>0.30199999999999999</v>
      </c>
      <c r="N697" s="37">
        <f t="shared" si="600"/>
        <v>116.6022</v>
      </c>
      <c r="O697" s="35">
        <f t="shared" si="601"/>
        <v>9677.9825999999994</v>
      </c>
      <c r="P697" s="38">
        <f t="shared" si="602"/>
        <v>9689.4225999999999</v>
      </c>
      <c r="Q697" s="2"/>
    </row>
    <row r="698" spans="1:17" x14ac:dyDescent="0.25">
      <c r="A698" s="122" t="str">
        <f>IF(TRIM(G698)&lt;&gt;"",COUNTA(G$7:$G698)&amp;"","")</f>
        <v>563</v>
      </c>
      <c r="B698" s="123"/>
      <c r="C698" s="123"/>
      <c r="D698" s="222"/>
      <c r="E698" s="104" t="s">
        <v>855</v>
      </c>
      <c r="F698" s="224">
        <v>113.43</v>
      </c>
      <c r="G698" s="125" t="s">
        <v>228</v>
      </c>
      <c r="H698" s="33">
        <v>0.1</v>
      </c>
      <c r="I698" s="82">
        <f>IF(F698=0,"",F698+(F698*H698))</f>
        <v>124.77300000000001</v>
      </c>
      <c r="J698" s="225">
        <v>11.44</v>
      </c>
      <c r="K698" s="35">
        <f>IF(F698=0,"",J698*I698)</f>
        <v>1427.4031199999999</v>
      </c>
      <c r="L698" s="36">
        <f t="shared" si="579"/>
        <v>83</v>
      </c>
      <c r="M698" s="37">
        <v>0.30199999999999999</v>
      </c>
      <c r="N698" s="37">
        <f>IF(F698=0,"",M698*I698)</f>
        <v>37.681446000000001</v>
      </c>
      <c r="O698" s="35">
        <f>IF(F698=0,"",N698*L698)</f>
        <v>3127.5600180000001</v>
      </c>
      <c r="P698" s="38">
        <f>IF(F698=0,"",K698+O698)</f>
        <v>4554.9631380000001</v>
      </c>
      <c r="Q698" s="2"/>
    </row>
    <row r="699" spans="1:17" x14ac:dyDescent="0.25">
      <c r="A699" s="122" t="str">
        <f>IF(TRIM(G699)&lt;&gt;"",COUNTA(G$7:$G699)&amp;"","")</f>
        <v>564</v>
      </c>
      <c r="B699" s="123"/>
      <c r="C699" s="123"/>
      <c r="D699" s="222"/>
      <c r="E699" s="104" t="s">
        <v>856</v>
      </c>
      <c r="F699" s="224">
        <v>21.18</v>
      </c>
      <c r="G699" s="125" t="s">
        <v>228</v>
      </c>
      <c r="H699" s="33">
        <v>0.1</v>
      </c>
      <c r="I699" s="82">
        <f>IF(F699=0,"",F699+(F699*H699))</f>
        <v>23.297999999999998</v>
      </c>
      <c r="J699" s="225">
        <v>16.170000000000002</v>
      </c>
      <c r="K699" s="35">
        <f>IF(F699=0,"",J699*I699)</f>
        <v>376.72865999999999</v>
      </c>
      <c r="L699" s="36">
        <f t="shared" si="579"/>
        <v>83</v>
      </c>
      <c r="M699" s="37">
        <v>0.33300000000000002</v>
      </c>
      <c r="N699" s="37">
        <f>IF(F699=0,"",M699*I699)</f>
        <v>7.7582339999999999</v>
      </c>
      <c r="O699" s="35">
        <f>IF(F699=0,"",N699*L699)</f>
        <v>643.93342199999995</v>
      </c>
      <c r="P699" s="38">
        <f>IF(F699=0,"",K699+O699)</f>
        <v>1020.6620819999999</v>
      </c>
      <c r="Q699" s="2"/>
    </row>
    <row r="700" spans="1:17" x14ac:dyDescent="0.25">
      <c r="A700" s="122" t="str">
        <f>IF(TRIM(G700)&lt;&gt;"",COUNTA(G$7:$G700)&amp;"","")</f>
        <v>565</v>
      </c>
      <c r="B700" s="123"/>
      <c r="C700" s="123"/>
      <c r="D700" s="222"/>
      <c r="E700" s="104" t="s">
        <v>857</v>
      </c>
      <c r="F700" s="224">
        <v>3.96</v>
      </c>
      <c r="G700" s="125" t="s">
        <v>228</v>
      </c>
      <c r="H700" s="33">
        <v>0.1</v>
      </c>
      <c r="I700" s="82">
        <f t="shared" ref="I700:I701" si="603">IF(F700=0,"",F700+(F700*H700))</f>
        <v>4.3559999999999999</v>
      </c>
      <c r="J700" s="225">
        <v>22.69</v>
      </c>
      <c r="K700" s="35">
        <f t="shared" ref="K700:K701" si="604">IF(F700=0,"",J700*I700)</f>
        <v>98.837640000000007</v>
      </c>
      <c r="L700" s="36">
        <f t="shared" si="579"/>
        <v>83</v>
      </c>
      <c r="M700" s="37">
        <v>0.37</v>
      </c>
      <c r="N700" s="37">
        <f t="shared" ref="N700:N701" si="605">IF(F700=0,"",M700*I700)</f>
        <v>1.61172</v>
      </c>
      <c r="O700" s="35">
        <f t="shared" ref="O700:O701" si="606">IF(F700=0,"",N700*L700)</f>
        <v>133.77276000000001</v>
      </c>
      <c r="P700" s="38">
        <f t="shared" ref="P700:P701" si="607">IF(F700=0,"",K700+O700)</f>
        <v>232.61040000000003</v>
      </c>
      <c r="Q700" s="2"/>
    </row>
    <row r="701" spans="1:17" x14ac:dyDescent="0.25">
      <c r="A701" s="122" t="str">
        <f>IF(TRIM(G701)&lt;&gt;"",COUNTA(G$7:$G701)&amp;"","")</f>
        <v>566</v>
      </c>
      <c r="B701" s="123"/>
      <c r="C701" s="123"/>
      <c r="D701" s="222"/>
      <c r="E701" s="104" t="s">
        <v>858</v>
      </c>
      <c r="F701" s="224">
        <v>3.68</v>
      </c>
      <c r="G701" s="125" t="s">
        <v>228</v>
      </c>
      <c r="H701" s="33">
        <v>0.1</v>
      </c>
      <c r="I701" s="82">
        <f t="shared" si="603"/>
        <v>4.048</v>
      </c>
      <c r="J701" s="225">
        <v>35.380000000000003</v>
      </c>
      <c r="K701" s="35">
        <f t="shared" si="604"/>
        <v>143.21824000000001</v>
      </c>
      <c r="L701" s="36">
        <f t="shared" si="579"/>
        <v>83</v>
      </c>
      <c r="M701" s="37">
        <v>0.41</v>
      </c>
      <c r="N701" s="37">
        <f t="shared" si="605"/>
        <v>1.6596799999999998</v>
      </c>
      <c r="O701" s="35">
        <f t="shared" si="606"/>
        <v>137.75343999999998</v>
      </c>
      <c r="P701" s="38">
        <f t="shared" si="607"/>
        <v>280.97167999999999</v>
      </c>
      <c r="Q701" s="2"/>
    </row>
    <row r="702" spans="1:17" x14ac:dyDescent="0.25">
      <c r="A702" s="122" t="str">
        <f>IF(TRIM(G702)&lt;&gt;"",COUNTA(G$7:$G702)&amp;"","")</f>
        <v>567</v>
      </c>
      <c r="B702" s="123"/>
      <c r="C702" s="123"/>
      <c r="D702" s="222"/>
      <c r="E702" s="104" t="s">
        <v>859</v>
      </c>
      <c r="F702" s="224">
        <v>44.3</v>
      </c>
      <c r="G702" s="125" t="s">
        <v>228</v>
      </c>
      <c r="H702" s="33">
        <v>0.1</v>
      </c>
      <c r="I702" s="82">
        <f>IF(F702=0,"",F702+(F702*H702))</f>
        <v>48.73</v>
      </c>
      <c r="J702" s="225">
        <v>57.9</v>
      </c>
      <c r="K702" s="35">
        <f>IF(F702=0,"",J702*I702)</f>
        <v>2821.4669999999996</v>
      </c>
      <c r="L702" s="36">
        <f t="shared" si="579"/>
        <v>83</v>
      </c>
      <c r="M702" s="37">
        <v>0.5</v>
      </c>
      <c r="N702" s="37">
        <f>IF(F702=0,"",M702*I702)</f>
        <v>24.364999999999998</v>
      </c>
      <c r="O702" s="35">
        <f>IF(F702=0,"",N702*L702)</f>
        <v>2022.2949999999998</v>
      </c>
      <c r="P702" s="38">
        <f>IF(F702=0,"",K702+O702)</f>
        <v>4843.7619999999997</v>
      </c>
      <c r="Q702" s="2"/>
    </row>
    <row r="703" spans="1:17" x14ac:dyDescent="0.25">
      <c r="A703" s="122" t="str">
        <f>IF(TRIM(G703)&lt;&gt;"",COUNTA(G$7:$G703)&amp;"","")</f>
        <v>568</v>
      </c>
      <c r="B703" s="123"/>
      <c r="C703" s="123"/>
      <c r="D703" s="222"/>
      <c r="E703" s="104" t="s">
        <v>860</v>
      </c>
      <c r="F703" s="224">
        <v>95</v>
      </c>
      <c r="G703" s="125" t="s">
        <v>228</v>
      </c>
      <c r="H703" s="33">
        <v>0.1</v>
      </c>
      <c r="I703" s="82">
        <f t="shared" ref="I703" si="608">IF(F703=0,"",F703+(F703*H703))</f>
        <v>104.5</v>
      </c>
      <c r="J703" s="225">
        <v>5.01</v>
      </c>
      <c r="K703" s="35">
        <f t="shared" ref="K703" si="609">IF(F703=0,"",J703*I703)</f>
        <v>523.54499999999996</v>
      </c>
      <c r="L703" s="36">
        <f t="shared" si="579"/>
        <v>83</v>
      </c>
      <c r="M703" s="37">
        <v>0.222</v>
      </c>
      <c r="N703" s="37">
        <f t="shared" ref="N703" si="610">IF(F703=0,"",M703*I703)</f>
        <v>23.199000000000002</v>
      </c>
      <c r="O703" s="35">
        <f t="shared" ref="O703" si="611">IF(F703=0,"",N703*L703)</f>
        <v>1925.5170000000001</v>
      </c>
      <c r="P703" s="38">
        <f t="shared" ref="P703" si="612">IF(F703=0,"",K703+O703)</f>
        <v>2449.0619999999999</v>
      </c>
      <c r="Q703" s="2"/>
    </row>
    <row r="704" spans="1:17" x14ac:dyDescent="0.25">
      <c r="A704" s="122" t="str">
        <f>IF(TRIM(G704)&lt;&gt;"",COUNTA(G$7:$G704)&amp;"","")</f>
        <v>569</v>
      </c>
      <c r="B704" s="123"/>
      <c r="C704" s="123"/>
      <c r="D704" s="222"/>
      <c r="E704" s="104" t="s">
        <v>861</v>
      </c>
      <c r="F704" s="224">
        <v>220</v>
      </c>
      <c r="G704" s="125" t="s">
        <v>228</v>
      </c>
      <c r="H704" s="33">
        <v>0.1</v>
      </c>
      <c r="I704" s="82">
        <f>IF(F704=0,"",F704+(F704*H704))</f>
        <v>242</v>
      </c>
      <c r="J704" s="225">
        <v>2.79</v>
      </c>
      <c r="K704" s="35">
        <f>IF(F704=0,"",J704*I704)</f>
        <v>675.18000000000006</v>
      </c>
      <c r="L704" s="36">
        <f t="shared" si="579"/>
        <v>83</v>
      </c>
      <c r="M704" s="37">
        <v>0.27</v>
      </c>
      <c r="N704" s="37">
        <f>IF(F704=0,"",M704*I704)</f>
        <v>65.34</v>
      </c>
      <c r="O704" s="35">
        <f>IF(F704=0,"",N704*L704)</f>
        <v>5423.22</v>
      </c>
      <c r="P704" s="38">
        <f>IF(F704=0,"",K704+O704)</f>
        <v>6098.4000000000005</v>
      </c>
      <c r="Q704" s="2"/>
    </row>
    <row r="705" spans="1:17" x14ac:dyDescent="0.25">
      <c r="A705" s="122" t="str">
        <f>IF(TRIM(G705)&lt;&gt;"",COUNTA(G$7:$G705)&amp;"","")</f>
        <v>570</v>
      </c>
      <c r="B705" s="123"/>
      <c r="C705" s="123"/>
      <c r="D705" s="222"/>
      <c r="E705" s="104" t="s">
        <v>862</v>
      </c>
      <c r="F705" s="224">
        <v>80</v>
      </c>
      <c r="G705" s="125" t="s">
        <v>228</v>
      </c>
      <c r="H705" s="33">
        <v>0.1</v>
      </c>
      <c r="I705" s="82">
        <f t="shared" ref="I705:I706" si="613">IF(F705=0,"",F705+(F705*H705))</f>
        <v>88</v>
      </c>
      <c r="J705" s="225">
        <v>11.44</v>
      </c>
      <c r="K705" s="35">
        <f t="shared" ref="K705:K706" si="614">IF(F705=0,"",J705*I705)</f>
        <v>1006.7199999999999</v>
      </c>
      <c r="L705" s="36">
        <f t="shared" si="579"/>
        <v>83</v>
      </c>
      <c r="M705" s="37">
        <v>0.30199999999999999</v>
      </c>
      <c r="N705" s="37">
        <f t="shared" ref="N705:N706" si="615">IF(F705=0,"",M705*I705)</f>
        <v>26.576000000000001</v>
      </c>
      <c r="O705" s="35">
        <f t="shared" ref="O705:O706" si="616">IF(F705=0,"",N705*L705)</f>
        <v>2205.808</v>
      </c>
      <c r="P705" s="38">
        <f t="shared" ref="P705:P706" si="617">IF(F705=0,"",K705+O705)</f>
        <v>3212.5279999999998</v>
      </c>
      <c r="Q705" s="2"/>
    </row>
    <row r="706" spans="1:17" x14ac:dyDescent="0.25">
      <c r="A706" s="122" t="str">
        <f>IF(TRIM(G706)&lt;&gt;"",COUNTA(G$7:$G706)&amp;"","")</f>
        <v>571</v>
      </c>
      <c r="B706" s="123"/>
      <c r="C706" s="123"/>
      <c r="D706" s="222"/>
      <c r="E706" s="104" t="s">
        <v>863</v>
      </c>
      <c r="F706" s="224">
        <v>128</v>
      </c>
      <c r="G706" s="125" t="s">
        <v>228</v>
      </c>
      <c r="H706" s="33">
        <v>0.1</v>
      </c>
      <c r="I706" s="82">
        <f t="shared" si="613"/>
        <v>140.80000000000001</v>
      </c>
      <c r="J706" s="225">
        <v>16.170000000000002</v>
      </c>
      <c r="K706" s="35">
        <f t="shared" si="614"/>
        <v>2276.7360000000003</v>
      </c>
      <c r="L706" s="36">
        <f t="shared" si="579"/>
        <v>83</v>
      </c>
      <c r="M706" s="37">
        <v>0.33300000000000002</v>
      </c>
      <c r="N706" s="37">
        <f t="shared" si="615"/>
        <v>46.886400000000009</v>
      </c>
      <c r="O706" s="35">
        <f t="shared" si="616"/>
        <v>3891.5712000000008</v>
      </c>
      <c r="P706" s="38">
        <f t="shared" si="617"/>
        <v>6168.3072000000011</v>
      </c>
      <c r="Q706" s="2"/>
    </row>
    <row r="707" spans="1:17" x14ac:dyDescent="0.25">
      <c r="A707" s="122" t="str">
        <f>IF(TRIM(G707)&lt;&gt;"",COUNTA(G$7:$G707)&amp;"","")</f>
        <v>572</v>
      </c>
      <c r="B707" s="123"/>
      <c r="C707" s="123"/>
      <c r="D707" s="222"/>
      <c r="E707" s="104" t="s">
        <v>864</v>
      </c>
      <c r="F707" s="224">
        <v>3</v>
      </c>
      <c r="G707" s="125" t="s">
        <v>228</v>
      </c>
      <c r="H707" s="33">
        <v>0.1</v>
      </c>
      <c r="I707" s="82">
        <f>IF(F707=0,"",F707+(F707*H707))</f>
        <v>3.3</v>
      </c>
      <c r="J707" s="225">
        <v>35.380000000000003</v>
      </c>
      <c r="K707" s="35">
        <f>IF(F707=0,"",J707*I707)</f>
        <v>116.754</v>
      </c>
      <c r="L707" s="36">
        <f t="shared" si="579"/>
        <v>83</v>
      </c>
      <c r="M707" s="37">
        <v>0.41</v>
      </c>
      <c r="N707" s="37">
        <f>IF(F707=0,"",M707*I707)</f>
        <v>1.3529999999999998</v>
      </c>
      <c r="O707" s="35">
        <f>IF(F707=0,"",N707*L707)</f>
        <v>112.29899999999998</v>
      </c>
      <c r="P707" s="38">
        <f>IF(F707=0,"",K707+O707)</f>
        <v>229.053</v>
      </c>
      <c r="Q707" s="2"/>
    </row>
    <row r="708" spans="1:17" x14ac:dyDescent="0.25">
      <c r="A708" s="122" t="str">
        <f>IF(TRIM(G708)&lt;&gt;"",COUNTA(G$7:$G708)&amp;"","")</f>
        <v>573</v>
      </c>
      <c r="B708" s="123"/>
      <c r="C708" s="123"/>
      <c r="D708" s="222"/>
      <c r="E708" s="104" t="s">
        <v>865</v>
      </c>
      <c r="F708" s="224">
        <v>28</v>
      </c>
      <c r="G708" s="125" t="s">
        <v>228</v>
      </c>
      <c r="H708" s="33">
        <v>0.1</v>
      </c>
      <c r="I708" s="82">
        <f t="shared" ref="I708:I729" si="618">IF(F708=0,"",F708+(F708*H708))</f>
        <v>30.8</v>
      </c>
      <c r="J708" s="225">
        <v>57.9</v>
      </c>
      <c r="K708" s="35">
        <f t="shared" ref="K708:K729" si="619">IF(F708=0,"",J708*I708)</f>
        <v>1783.32</v>
      </c>
      <c r="L708" s="36">
        <f t="shared" si="579"/>
        <v>83</v>
      </c>
      <c r="M708" s="37">
        <v>0.5</v>
      </c>
      <c r="N708" s="37">
        <f t="shared" ref="N708:N729" si="620">IF(F708=0,"",M708*I708)</f>
        <v>15.4</v>
      </c>
      <c r="O708" s="35">
        <f t="shared" ref="O708:O729" si="621">IF(F708=0,"",N708*L708)</f>
        <v>1278.2</v>
      </c>
      <c r="P708" s="38">
        <f t="shared" ref="P708:P729" si="622">IF(F708=0,"",K708+O708)</f>
        <v>3061.52</v>
      </c>
      <c r="Q708" s="2"/>
    </row>
    <row r="709" spans="1:17" x14ac:dyDescent="0.25">
      <c r="A709" s="122" t="str">
        <f>IF(TRIM(G709)&lt;&gt;"",COUNTA(G$7:$G709)&amp;"","")</f>
        <v/>
      </c>
      <c r="B709" s="123"/>
      <c r="C709" s="123"/>
      <c r="D709" s="222"/>
      <c r="E709" s="104"/>
      <c r="F709" s="224"/>
      <c r="G709" s="125"/>
      <c r="H709" s="33"/>
      <c r="I709" s="82" t="str">
        <f t="shared" si="618"/>
        <v/>
      </c>
      <c r="J709" s="225"/>
      <c r="K709" s="35" t="str">
        <f t="shared" si="619"/>
        <v/>
      </c>
      <c r="L709" s="36" t="str">
        <f t="shared" si="579"/>
        <v/>
      </c>
      <c r="M709" s="37"/>
      <c r="N709" s="37" t="str">
        <f t="shared" si="620"/>
        <v/>
      </c>
      <c r="O709" s="35" t="str">
        <f t="shared" si="621"/>
        <v/>
      </c>
      <c r="P709" s="38" t="str">
        <f t="shared" si="622"/>
        <v/>
      </c>
      <c r="Q709" s="2"/>
    </row>
    <row r="710" spans="1:17" x14ac:dyDescent="0.25">
      <c r="A710" s="122" t="str">
        <f>IF(TRIM(G710)&lt;&gt;"",COUNTA(G$7:$G710)&amp;"","")</f>
        <v/>
      </c>
      <c r="B710" s="123"/>
      <c r="C710" s="123"/>
      <c r="D710" s="222"/>
      <c r="E710" s="226" t="s">
        <v>866</v>
      </c>
      <c r="F710" s="224"/>
      <c r="G710" s="125"/>
      <c r="H710" s="33"/>
      <c r="I710" s="82" t="str">
        <f t="shared" si="618"/>
        <v/>
      </c>
      <c r="J710" s="225"/>
      <c r="K710" s="35" t="str">
        <f t="shared" si="619"/>
        <v/>
      </c>
      <c r="L710" s="36" t="str">
        <f t="shared" si="579"/>
        <v/>
      </c>
      <c r="M710" s="37"/>
      <c r="N710" s="37" t="str">
        <f t="shared" si="620"/>
        <v/>
      </c>
      <c r="O710" s="35" t="str">
        <f t="shared" si="621"/>
        <v/>
      </c>
      <c r="P710" s="38" t="str">
        <f t="shared" si="622"/>
        <v/>
      </c>
      <c r="Q710" s="2"/>
    </row>
    <row r="711" spans="1:17" x14ac:dyDescent="0.25">
      <c r="A711" s="122" t="str">
        <f>IF(TRIM(G711)&lt;&gt;"",COUNTA(G$7:$G711)&amp;"","")</f>
        <v>574</v>
      </c>
      <c r="B711" s="123"/>
      <c r="C711" s="123"/>
      <c r="D711" s="222"/>
      <c r="E711" s="220" t="s">
        <v>867</v>
      </c>
      <c r="F711" s="224">
        <v>1</v>
      </c>
      <c r="G711" s="125" t="s">
        <v>250</v>
      </c>
      <c r="H711" s="33">
        <v>0</v>
      </c>
      <c r="I711" s="82">
        <f t="shared" si="618"/>
        <v>1</v>
      </c>
      <c r="J711" s="225">
        <v>4.7300000000000004</v>
      </c>
      <c r="K711" s="35">
        <f t="shared" si="619"/>
        <v>4.7300000000000004</v>
      </c>
      <c r="L711" s="36">
        <f t="shared" si="579"/>
        <v>83</v>
      </c>
      <c r="M711" s="37">
        <v>0.39600000000000002</v>
      </c>
      <c r="N711" s="37">
        <f t="shared" si="620"/>
        <v>0.39600000000000002</v>
      </c>
      <c r="O711" s="35">
        <f t="shared" si="621"/>
        <v>32.868000000000002</v>
      </c>
      <c r="P711" s="38">
        <f t="shared" si="622"/>
        <v>37.597999999999999</v>
      </c>
      <c r="Q711" s="2"/>
    </row>
    <row r="712" spans="1:17" x14ac:dyDescent="0.25">
      <c r="A712" s="122" t="str">
        <f>IF(TRIM(G712)&lt;&gt;"",COUNTA(G$7:$G712)&amp;"","")</f>
        <v>575</v>
      </c>
      <c r="B712" s="123"/>
      <c r="C712" s="123"/>
      <c r="D712" s="222"/>
      <c r="E712" s="220" t="s">
        <v>868</v>
      </c>
      <c r="F712" s="224">
        <v>16</v>
      </c>
      <c r="G712" s="125" t="s">
        <v>250</v>
      </c>
      <c r="H712" s="33">
        <v>0</v>
      </c>
      <c r="I712" s="82">
        <f t="shared" si="618"/>
        <v>16</v>
      </c>
      <c r="J712" s="225">
        <v>2.41</v>
      </c>
      <c r="K712" s="35">
        <f t="shared" si="619"/>
        <v>38.56</v>
      </c>
      <c r="L712" s="36">
        <f t="shared" si="579"/>
        <v>83</v>
      </c>
      <c r="M712" s="37">
        <v>0.48299999999999998</v>
      </c>
      <c r="N712" s="37">
        <f t="shared" si="620"/>
        <v>7.7279999999999998</v>
      </c>
      <c r="O712" s="35">
        <f t="shared" si="621"/>
        <v>641.42399999999998</v>
      </c>
      <c r="P712" s="38">
        <f t="shared" si="622"/>
        <v>679.98399999999992</v>
      </c>
      <c r="Q712" s="2"/>
    </row>
    <row r="713" spans="1:17" x14ac:dyDescent="0.25">
      <c r="A713" s="122" t="str">
        <f>IF(TRIM(G713)&lt;&gt;"",COUNTA(G$7:$G713)&amp;"","")</f>
        <v>576</v>
      </c>
      <c r="B713" s="123"/>
      <c r="C713" s="123"/>
      <c r="D713" s="222"/>
      <c r="E713" s="220" t="s">
        <v>869</v>
      </c>
      <c r="F713" s="224">
        <f>17+2</f>
        <v>19</v>
      </c>
      <c r="G713" s="125" t="s">
        <v>250</v>
      </c>
      <c r="H713" s="33">
        <v>0</v>
      </c>
      <c r="I713" s="82">
        <f t="shared" si="618"/>
        <v>19</v>
      </c>
      <c r="J713" s="225">
        <v>7.67</v>
      </c>
      <c r="K713" s="35">
        <f t="shared" si="619"/>
        <v>145.72999999999999</v>
      </c>
      <c r="L713" s="36">
        <f t="shared" si="579"/>
        <v>83</v>
      </c>
      <c r="M713" s="37">
        <v>0.76900000000000002</v>
      </c>
      <c r="N713" s="37">
        <f t="shared" si="620"/>
        <v>14.611000000000001</v>
      </c>
      <c r="O713" s="35">
        <f t="shared" si="621"/>
        <v>1212.713</v>
      </c>
      <c r="P713" s="38">
        <f t="shared" si="622"/>
        <v>1358.443</v>
      </c>
      <c r="Q713" s="2"/>
    </row>
    <row r="714" spans="1:17" x14ac:dyDescent="0.25">
      <c r="A714" s="122" t="str">
        <f>IF(TRIM(G714)&lt;&gt;"",COUNTA(G$7:$G714)&amp;"","")</f>
        <v>577</v>
      </c>
      <c r="B714" s="123"/>
      <c r="C714" s="123"/>
      <c r="D714" s="222"/>
      <c r="E714" s="220" t="s">
        <v>870</v>
      </c>
      <c r="F714" s="224">
        <v>1</v>
      </c>
      <c r="G714" s="125" t="s">
        <v>250</v>
      </c>
      <c r="H714" s="33">
        <v>0</v>
      </c>
      <c r="I714" s="82">
        <f t="shared" si="618"/>
        <v>1</v>
      </c>
      <c r="J714" s="225">
        <v>12.5</v>
      </c>
      <c r="K714" s="35">
        <f t="shared" si="619"/>
        <v>12.5</v>
      </c>
      <c r="L714" s="36">
        <f t="shared" si="579"/>
        <v>83</v>
      </c>
      <c r="M714" s="37">
        <v>0.97</v>
      </c>
      <c r="N714" s="37">
        <f t="shared" si="620"/>
        <v>0.97</v>
      </c>
      <c r="O714" s="35">
        <f t="shared" si="621"/>
        <v>80.509999999999991</v>
      </c>
      <c r="P714" s="38">
        <f t="shared" si="622"/>
        <v>93.009999999999991</v>
      </c>
      <c r="Q714" s="2"/>
    </row>
    <row r="715" spans="1:17" x14ac:dyDescent="0.25">
      <c r="A715" s="122" t="str">
        <f>IF(TRIM(G715)&lt;&gt;"",COUNTA(G$7:$G715)&amp;"","")</f>
        <v>578</v>
      </c>
      <c r="B715" s="123"/>
      <c r="C715" s="123"/>
      <c r="D715" s="222"/>
      <c r="E715" s="220" t="s">
        <v>871</v>
      </c>
      <c r="F715" s="224">
        <v>1</v>
      </c>
      <c r="G715" s="125" t="s">
        <v>250</v>
      </c>
      <c r="H715" s="33">
        <v>0</v>
      </c>
      <c r="I715" s="82">
        <f t="shared" si="618"/>
        <v>1</v>
      </c>
      <c r="J715" s="225">
        <v>69.38</v>
      </c>
      <c r="K715" s="35">
        <f t="shared" si="619"/>
        <v>69.38</v>
      </c>
      <c r="L715" s="36">
        <f t="shared" si="579"/>
        <v>83</v>
      </c>
      <c r="M715" s="37">
        <v>2.581</v>
      </c>
      <c r="N715" s="37">
        <f t="shared" si="620"/>
        <v>2.581</v>
      </c>
      <c r="O715" s="35">
        <f t="shared" si="621"/>
        <v>214.22299999999998</v>
      </c>
      <c r="P715" s="38">
        <f t="shared" si="622"/>
        <v>283.60299999999995</v>
      </c>
      <c r="Q715" s="2"/>
    </row>
    <row r="716" spans="1:17" x14ac:dyDescent="0.25">
      <c r="A716" s="122" t="str">
        <f>IF(TRIM(G716)&lt;&gt;"",COUNTA(G$7:$G716)&amp;"","")</f>
        <v>579</v>
      </c>
      <c r="B716" s="123"/>
      <c r="C716" s="123"/>
      <c r="D716" s="222"/>
      <c r="E716" s="220" t="s">
        <v>817</v>
      </c>
      <c r="F716" s="224">
        <v>5</v>
      </c>
      <c r="G716" s="125" t="s">
        <v>250</v>
      </c>
      <c r="H716" s="33">
        <v>0</v>
      </c>
      <c r="I716" s="82">
        <f t="shared" si="618"/>
        <v>5</v>
      </c>
      <c r="J716" s="225">
        <v>11.92</v>
      </c>
      <c r="K716" s="35">
        <f t="shared" si="619"/>
        <v>59.6</v>
      </c>
      <c r="L716" s="36">
        <f t="shared" si="579"/>
        <v>83</v>
      </c>
      <c r="M716" s="37">
        <v>0.39600000000000002</v>
      </c>
      <c r="N716" s="37">
        <f t="shared" si="620"/>
        <v>1.98</v>
      </c>
      <c r="O716" s="35">
        <f t="shared" si="621"/>
        <v>164.34</v>
      </c>
      <c r="P716" s="38">
        <f t="shared" si="622"/>
        <v>223.94</v>
      </c>
      <c r="Q716" s="2"/>
    </row>
    <row r="717" spans="1:17" x14ac:dyDescent="0.25">
      <c r="A717" s="122" t="str">
        <f>IF(TRIM(G717)&lt;&gt;"",COUNTA(G$7:$G717)&amp;"","")</f>
        <v>580</v>
      </c>
      <c r="B717" s="123"/>
      <c r="C717" s="123"/>
      <c r="D717" s="222"/>
      <c r="E717" s="220" t="s">
        <v>818</v>
      </c>
      <c r="F717" s="224">
        <v>3</v>
      </c>
      <c r="G717" s="125" t="s">
        <v>250</v>
      </c>
      <c r="H717" s="33">
        <v>0</v>
      </c>
      <c r="I717" s="82">
        <f t="shared" si="618"/>
        <v>3</v>
      </c>
      <c r="J717" s="225">
        <v>14.89</v>
      </c>
      <c r="K717" s="35">
        <f t="shared" si="619"/>
        <v>44.67</v>
      </c>
      <c r="L717" s="36">
        <f t="shared" si="579"/>
        <v>83</v>
      </c>
      <c r="M717" s="37">
        <v>0.44</v>
      </c>
      <c r="N717" s="37">
        <f t="shared" si="620"/>
        <v>1.32</v>
      </c>
      <c r="O717" s="35">
        <f t="shared" si="621"/>
        <v>109.56</v>
      </c>
      <c r="P717" s="38">
        <f t="shared" si="622"/>
        <v>154.23000000000002</v>
      </c>
      <c r="Q717" s="2"/>
    </row>
    <row r="718" spans="1:17" x14ac:dyDescent="0.25">
      <c r="A718" s="122" t="str">
        <f>IF(TRIM(G718)&lt;&gt;"",COUNTA(G$7:$G718)&amp;"","")</f>
        <v>581</v>
      </c>
      <c r="B718" s="123"/>
      <c r="C718" s="123"/>
      <c r="D718" s="222"/>
      <c r="E718" s="220" t="s">
        <v>872</v>
      </c>
      <c r="F718" s="224">
        <v>31</v>
      </c>
      <c r="G718" s="125" t="s">
        <v>250</v>
      </c>
      <c r="H718" s="33">
        <v>0</v>
      </c>
      <c r="I718" s="82">
        <f t="shared" si="618"/>
        <v>31</v>
      </c>
      <c r="J718" s="225">
        <v>23.43</v>
      </c>
      <c r="K718" s="35">
        <f t="shared" si="619"/>
        <v>726.33</v>
      </c>
      <c r="L718" s="36">
        <f t="shared" si="579"/>
        <v>83</v>
      </c>
      <c r="M718" s="37">
        <v>0.48299999999999998</v>
      </c>
      <c r="N718" s="37">
        <f t="shared" si="620"/>
        <v>14.972999999999999</v>
      </c>
      <c r="O718" s="35">
        <f t="shared" si="621"/>
        <v>1242.759</v>
      </c>
      <c r="P718" s="38">
        <f t="shared" si="622"/>
        <v>1969.0889999999999</v>
      </c>
      <c r="Q718" s="2"/>
    </row>
    <row r="719" spans="1:17" x14ac:dyDescent="0.25">
      <c r="A719" s="122" t="str">
        <f>IF(TRIM(G719)&lt;&gt;"",COUNTA(G$7:$G719)&amp;"","")</f>
        <v>582</v>
      </c>
      <c r="B719" s="123"/>
      <c r="C719" s="123"/>
      <c r="D719" s="222"/>
      <c r="E719" s="220" t="s">
        <v>873</v>
      </c>
      <c r="F719" s="224">
        <f>24+6</f>
        <v>30</v>
      </c>
      <c r="G719" s="125" t="s">
        <v>250</v>
      </c>
      <c r="H719" s="33">
        <v>0</v>
      </c>
      <c r="I719" s="82">
        <f t="shared" si="618"/>
        <v>30</v>
      </c>
      <c r="J719" s="225">
        <v>68.930000000000007</v>
      </c>
      <c r="K719" s="35">
        <f t="shared" si="619"/>
        <v>2067.9</v>
      </c>
      <c r="L719" s="36">
        <f t="shared" si="579"/>
        <v>83</v>
      </c>
      <c r="M719" s="37">
        <v>0.76900000000000002</v>
      </c>
      <c r="N719" s="37">
        <f t="shared" si="620"/>
        <v>23.07</v>
      </c>
      <c r="O719" s="35">
        <f t="shared" si="621"/>
        <v>1914.81</v>
      </c>
      <c r="P719" s="38">
        <f t="shared" si="622"/>
        <v>3982.71</v>
      </c>
      <c r="Q719" s="2"/>
    </row>
    <row r="720" spans="1:17" x14ac:dyDescent="0.25">
      <c r="A720" s="122" t="str">
        <f>IF(TRIM(G720)&lt;&gt;"",COUNTA(G$7:$G720)&amp;"","")</f>
        <v>583</v>
      </c>
      <c r="B720" s="123"/>
      <c r="C720" s="123"/>
      <c r="D720" s="222"/>
      <c r="E720" s="220" t="s">
        <v>874</v>
      </c>
      <c r="F720" s="224">
        <v>13</v>
      </c>
      <c r="G720" s="125" t="s">
        <v>250</v>
      </c>
      <c r="H720" s="33">
        <v>0</v>
      </c>
      <c r="I720" s="82">
        <f t="shared" si="618"/>
        <v>13</v>
      </c>
      <c r="J720" s="225">
        <v>136.01</v>
      </c>
      <c r="K720" s="35">
        <f t="shared" si="619"/>
        <v>1768.1299999999999</v>
      </c>
      <c r="L720" s="36">
        <f t="shared" si="579"/>
        <v>83</v>
      </c>
      <c r="M720" s="37">
        <v>0.97</v>
      </c>
      <c r="N720" s="37">
        <f t="shared" si="620"/>
        <v>12.61</v>
      </c>
      <c r="O720" s="35">
        <f t="shared" si="621"/>
        <v>1046.6299999999999</v>
      </c>
      <c r="P720" s="38">
        <f t="shared" si="622"/>
        <v>2814.7599999999998</v>
      </c>
      <c r="Q720" s="2"/>
    </row>
    <row r="721" spans="1:17" x14ac:dyDescent="0.25">
      <c r="A721" s="122" t="str">
        <f>IF(TRIM(G721)&lt;&gt;"",COUNTA(G$7:$G721)&amp;"","")</f>
        <v>584</v>
      </c>
      <c r="B721" s="123"/>
      <c r="C721" s="123"/>
      <c r="D721" s="222"/>
      <c r="E721" s="220" t="s">
        <v>875</v>
      </c>
      <c r="F721" s="224">
        <v>1</v>
      </c>
      <c r="G721" s="125" t="s">
        <v>250</v>
      </c>
      <c r="H721" s="33">
        <v>0</v>
      </c>
      <c r="I721" s="82">
        <f t="shared" si="618"/>
        <v>1</v>
      </c>
      <c r="J721" s="225">
        <v>477.88</v>
      </c>
      <c r="K721" s="35">
        <f t="shared" si="619"/>
        <v>477.88</v>
      </c>
      <c r="L721" s="36">
        <f t="shared" si="579"/>
        <v>83</v>
      </c>
      <c r="M721" s="37">
        <v>2.581</v>
      </c>
      <c r="N721" s="37">
        <f t="shared" si="620"/>
        <v>2.581</v>
      </c>
      <c r="O721" s="35">
        <f t="shared" si="621"/>
        <v>214.22299999999998</v>
      </c>
      <c r="P721" s="38">
        <f t="shared" si="622"/>
        <v>692.10299999999995</v>
      </c>
      <c r="Q721" s="2"/>
    </row>
    <row r="722" spans="1:17" x14ac:dyDescent="0.25">
      <c r="A722" s="122" t="str">
        <f>IF(TRIM(G722)&lt;&gt;"",COUNTA(G$7:$G722)&amp;"","")</f>
        <v>585</v>
      </c>
      <c r="B722" s="123"/>
      <c r="C722" s="123"/>
      <c r="D722" s="222"/>
      <c r="E722" s="220" t="s">
        <v>876</v>
      </c>
      <c r="F722" s="224">
        <v>1</v>
      </c>
      <c r="G722" s="125" t="s">
        <v>250</v>
      </c>
      <c r="H722" s="33">
        <v>0</v>
      </c>
      <c r="I722" s="82">
        <f t="shared" si="618"/>
        <v>1</v>
      </c>
      <c r="J722" s="225">
        <v>5.79</v>
      </c>
      <c r="K722" s="35">
        <f t="shared" si="619"/>
        <v>5.79</v>
      </c>
      <c r="L722" s="36">
        <f t="shared" si="579"/>
        <v>83</v>
      </c>
      <c r="M722" s="37">
        <v>0.438</v>
      </c>
      <c r="N722" s="37">
        <f t="shared" si="620"/>
        <v>0.438</v>
      </c>
      <c r="O722" s="35">
        <f t="shared" si="621"/>
        <v>36.353999999999999</v>
      </c>
      <c r="P722" s="38">
        <f t="shared" si="622"/>
        <v>42.143999999999998</v>
      </c>
      <c r="Q722" s="2"/>
    </row>
    <row r="723" spans="1:17" x14ac:dyDescent="0.25">
      <c r="A723" s="122" t="str">
        <f>IF(TRIM(G723)&lt;&gt;"",COUNTA(G$7:$G723)&amp;"","")</f>
        <v>586</v>
      </c>
      <c r="B723" s="123"/>
      <c r="C723" s="123"/>
      <c r="D723" s="222"/>
      <c r="E723" s="220" t="s">
        <v>877</v>
      </c>
      <c r="F723" s="224">
        <v>2</v>
      </c>
      <c r="G723" s="125" t="s">
        <v>250</v>
      </c>
      <c r="H723" s="33">
        <v>0</v>
      </c>
      <c r="I723" s="82">
        <f t="shared" si="618"/>
        <v>2</v>
      </c>
      <c r="J723" s="225">
        <v>30.79</v>
      </c>
      <c r="K723" s="35">
        <f t="shared" si="619"/>
        <v>61.58</v>
      </c>
      <c r="L723" s="36">
        <f t="shared" si="579"/>
        <v>83</v>
      </c>
      <c r="M723" s="37">
        <v>0.59</v>
      </c>
      <c r="N723" s="37">
        <f t="shared" si="620"/>
        <v>1.18</v>
      </c>
      <c r="O723" s="35">
        <f t="shared" si="621"/>
        <v>97.94</v>
      </c>
      <c r="P723" s="38">
        <f t="shared" si="622"/>
        <v>159.51999999999998</v>
      </c>
      <c r="Q723" s="2"/>
    </row>
    <row r="724" spans="1:17" x14ac:dyDescent="0.25">
      <c r="A724" s="122" t="str">
        <f>IF(TRIM(G724)&lt;&gt;"",COUNTA(G$7:$G724)&amp;"","")</f>
        <v>587</v>
      </c>
      <c r="B724" s="123"/>
      <c r="C724" s="123"/>
      <c r="D724" s="222"/>
      <c r="E724" s="220" t="s">
        <v>878</v>
      </c>
      <c r="F724" s="224">
        <v>1</v>
      </c>
      <c r="G724" s="125" t="s">
        <v>250</v>
      </c>
      <c r="H724" s="33">
        <v>0</v>
      </c>
      <c r="I724" s="82">
        <f t="shared" si="618"/>
        <v>1</v>
      </c>
      <c r="J724" s="225">
        <v>155.59</v>
      </c>
      <c r="K724" s="35">
        <f t="shared" si="619"/>
        <v>155.59</v>
      </c>
      <c r="L724" s="36">
        <f t="shared" si="579"/>
        <v>83</v>
      </c>
      <c r="M724" s="37">
        <v>1.05</v>
      </c>
      <c r="N724" s="37">
        <f t="shared" si="620"/>
        <v>1.05</v>
      </c>
      <c r="O724" s="35">
        <f t="shared" si="621"/>
        <v>87.15</v>
      </c>
      <c r="P724" s="38">
        <f t="shared" si="622"/>
        <v>242.74</v>
      </c>
      <c r="Q724" s="2"/>
    </row>
    <row r="725" spans="1:17" x14ac:dyDescent="0.25">
      <c r="A725" s="122" t="str">
        <f>IF(TRIM(G725)&lt;&gt;"",COUNTA(G$7:$G725)&amp;"","")</f>
        <v>588</v>
      </c>
      <c r="B725" s="123"/>
      <c r="C725" s="123"/>
      <c r="D725" s="222"/>
      <c r="E725" s="220" t="s">
        <v>879</v>
      </c>
      <c r="F725" s="224">
        <v>1</v>
      </c>
      <c r="G725" s="125" t="s">
        <v>250</v>
      </c>
      <c r="H725" s="33">
        <v>0</v>
      </c>
      <c r="I725" s="82">
        <f t="shared" si="618"/>
        <v>1</v>
      </c>
      <c r="J725" s="225">
        <v>261</v>
      </c>
      <c r="K725" s="35">
        <f t="shared" si="619"/>
        <v>261</v>
      </c>
      <c r="L725" s="36">
        <f t="shared" si="579"/>
        <v>83</v>
      </c>
      <c r="M725" s="37">
        <v>1.4410000000000001</v>
      </c>
      <c r="N725" s="37">
        <f t="shared" si="620"/>
        <v>1.4410000000000001</v>
      </c>
      <c r="O725" s="35">
        <f t="shared" si="621"/>
        <v>119.60300000000001</v>
      </c>
      <c r="P725" s="38">
        <f t="shared" si="622"/>
        <v>380.60300000000001</v>
      </c>
      <c r="Q725" s="2"/>
    </row>
    <row r="726" spans="1:17" x14ac:dyDescent="0.25">
      <c r="A726" s="122" t="str">
        <f>IF(TRIM(G726)&lt;&gt;"",COUNTA(G$7:$G726)&amp;"","")</f>
        <v>589</v>
      </c>
      <c r="B726" s="123"/>
      <c r="C726" s="123"/>
      <c r="D726" s="222"/>
      <c r="E726" s="220" t="s">
        <v>880</v>
      </c>
      <c r="F726" s="224">
        <v>1</v>
      </c>
      <c r="G726" s="125" t="s">
        <v>250</v>
      </c>
      <c r="H726" s="33">
        <v>0</v>
      </c>
      <c r="I726" s="82">
        <f t="shared" si="618"/>
        <v>1</v>
      </c>
      <c r="J726" s="225">
        <v>289</v>
      </c>
      <c r="K726" s="35">
        <f t="shared" si="619"/>
        <v>289</v>
      </c>
      <c r="L726" s="36">
        <f t="shared" si="579"/>
        <v>83</v>
      </c>
      <c r="M726" s="37">
        <v>1.67</v>
      </c>
      <c r="N726" s="37">
        <f t="shared" si="620"/>
        <v>1.67</v>
      </c>
      <c r="O726" s="35">
        <f t="shared" si="621"/>
        <v>138.60999999999999</v>
      </c>
      <c r="P726" s="38">
        <f t="shared" si="622"/>
        <v>427.61</v>
      </c>
      <c r="Q726" s="2"/>
    </row>
    <row r="727" spans="1:17" x14ac:dyDescent="0.25">
      <c r="A727" s="122" t="str">
        <f>IF(TRIM(G727)&lt;&gt;"",COUNTA(G$7:$G727)&amp;"","")</f>
        <v>590</v>
      </c>
      <c r="B727" s="123"/>
      <c r="C727" s="123"/>
      <c r="D727" s="222"/>
      <c r="E727" s="220" t="s">
        <v>881</v>
      </c>
      <c r="F727" s="224">
        <v>2</v>
      </c>
      <c r="G727" s="125" t="s">
        <v>250</v>
      </c>
      <c r="H727" s="33">
        <v>0</v>
      </c>
      <c r="I727" s="82">
        <f t="shared" si="618"/>
        <v>2</v>
      </c>
      <c r="J727" s="225">
        <v>510.5</v>
      </c>
      <c r="K727" s="35">
        <f t="shared" si="619"/>
        <v>1021</v>
      </c>
      <c r="L727" s="36">
        <f t="shared" si="579"/>
        <v>83</v>
      </c>
      <c r="M727" s="37">
        <v>2.3530000000000002</v>
      </c>
      <c r="N727" s="37">
        <f t="shared" si="620"/>
        <v>4.7060000000000004</v>
      </c>
      <c r="O727" s="35">
        <f t="shared" si="621"/>
        <v>390.59800000000001</v>
      </c>
      <c r="P727" s="38">
        <f t="shared" si="622"/>
        <v>1411.598</v>
      </c>
      <c r="Q727" s="2"/>
    </row>
    <row r="728" spans="1:17" x14ac:dyDescent="0.25">
      <c r="A728" s="122" t="str">
        <f>IF(TRIM(G728)&lt;&gt;"",COUNTA(G$7:$G728)&amp;"","")</f>
        <v>591</v>
      </c>
      <c r="B728" s="123"/>
      <c r="C728" s="123"/>
      <c r="D728" s="222"/>
      <c r="E728" s="220" t="s">
        <v>882</v>
      </c>
      <c r="F728" s="224">
        <v>3</v>
      </c>
      <c r="G728" s="125" t="s">
        <v>250</v>
      </c>
      <c r="H728" s="33">
        <v>0</v>
      </c>
      <c r="I728" s="82">
        <f t="shared" si="618"/>
        <v>3</v>
      </c>
      <c r="J728" s="225">
        <v>38.14</v>
      </c>
      <c r="K728" s="35">
        <f t="shared" si="619"/>
        <v>114.42</v>
      </c>
      <c r="L728" s="36">
        <f t="shared" si="579"/>
        <v>83</v>
      </c>
      <c r="M728" s="37">
        <v>0.8</v>
      </c>
      <c r="N728" s="37">
        <f t="shared" si="620"/>
        <v>2.4000000000000004</v>
      </c>
      <c r="O728" s="35">
        <f t="shared" si="621"/>
        <v>199.20000000000002</v>
      </c>
      <c r="P728" s="38">
        <f t="shared" si="622"/>
        <v>313.62</v>
      </c>
      <c r="Q728" s="2"/>
    </row>
    <row r="729" spans="1:17" x14ac:dyDescent="0.25">
      <c r="A729" s="122" t="str">
        <f>IF(TRIM(G729)&lt;&gt;"",COUNTA(G$7:$G729)&amp;"","")</f>
        <v>592</v>
      </c>
      <c r="B729" s="123"/>
      <c r="C729" s="123"/>
      <c r="D729" s="222"/>
      <c r="E729" s="220" t="s">
        <v>883</v>
      </c>
      <c r="F729" s="224">
        <v>9</v>
      </c>
      <c r="G729" s="125" t="s">
        <v>250</v>
      </c>
      <c r="H729" s="33">
        <v>0</v>
      </c>
      <c r="I729" s="82">
        <f t="shared" si="618"/>
        <v>9</v>
      </c>
      <c r="J729" s="225">
        <v>15.9</v>
      </c>
      <c r="K729" s="35">
        <f t="shared" si="619"/>
        <v>143.1</v>
      </c>
      <c r="L729" s="36">
        <f t="shared" si="579"/>
        <v>83</v>
      </c>
      <c r="M729" s="37">
        <v>0.69599999999999995</v>
      </c>
      <c r="N729" s="37">
        <f t="shared" si="620"/>
        <v>6.2639999999999993</v>
      </c>
      <c r="O729" s="35">
        <f t="shared" si="621"/>
        <v>519.91199999999992</v>
      </c>
      <c r="P729" s="38">
        <f t="shared" si="622"/>
        <v>663.01199999999994</v>
      </c>
      <c r="Q729" s="2"/>
    </row>
    <row r="730" spans="1:17" x14ac:dyDescent="0.25">
      <c r="A730" s="122" t="str">
        <f>IF(TRIM(G730)&lt;&gt;"",COUNTA(G$7:$G730)&amp;"","")</f>
        <v>593</v>
      </c>
      <c r="B730" s="123"/>
      <c r="C730" s="123"/>
      <c r="D730" s="222"/>
      <c r="E730" s="220" t="s">
        <v>884</v>
      </c>
      <c r="F730" s="224">
        <v>1</v>
      </c>
      <c r="G730" s="125" t="s">
        <v>250</v>
      </c>
      <c r="H730" s="33">
        <v>0</v>
      </c>
      <c r="I730" s="82">
        <f>IF(F730=0,"",F730+(F730*H730))</f>
        <v>1</v>
      </c>
      <c r="J730" s="225">
        <v>15.94</v>
      </c>
      <c r="K730" s="35">
        <f>IF(F730=0,"",J730*I730)</f>
        <v>15.94</v>
      </c>
      <c r="L730" s="36">
        <f t="shared" si="579"/>
        <v>83</v>
      </c>
      <c r="M730" s="37">
        <v>0.72699999999999998</v>
      </c>
      <c r="N730" s="37">
        <f>IF(F730=0,"",M730*I730)</f>
        <v>0.72699999999999998</v>
      </c>
      <c r="O730" s="35">
        <f>IF(F730=0,"",N730*L730)</f>
        <v>60.341000000000001</v>
      </c>
      <c r="P730" s="38">
        <f>IF(F730=0,"",K730+O730)</f>
        <v>76.281000000000006</v>
      </c>
      <c r="Q730" s="2"/>
    </row>
    <row r="731" spans="1:17" x14ac:dyDescent="0.25">
      <c r="A731" s="122" t="str">
        <f>IF(TRIM(G731)&lt;&gt;"",COUNTA(G$7:$G731)&amp;"","")</f>
        <v>594</v>
      </c>
      <c r="B731" s="123"/>
      <c r="C731" s="123"/>
      <c r="D731" s="222"/>
      <c r="E731" s="220" t="s">
        <v>885</v>
      </c>
      <c r="F731" s="224">
        <v>3</v>
      </c>
      <c r="G731" s="125" t="s">
        <v>250</v>
      </c>
      <c r="H731" s="33">
        <v>0</v>
      </c>
      <c r="I731" s="82">
        <f t="shared" ref="I731:I754" si="623">IF(F731=0,"",F731+(F731*H731))</f>
        <v>3</v>
      </c>
      <c r="J731" s="225">
        <v>101.09</v>
      </c>
      <c r="K731" s="35">
        <f t="shared" ref="K731:K754" si="624">IF(F731=0,"",J731*I731)</f>
        <v>303.27</v>
      </c>
      <c r="L731" s="36">
        <f t="shared" si="579"/>
        <v>83</v>
      </c>
      <c r="M731" s="37">
        <v>1.151</v>
      </c>
      <c r="N731" s="37">
        <f t="shared" ref="N731:N754" si="625">IF(F731=0,"",M731*I731)</f>
        <v>3.4530000000000003</v>
      </c>
      <c r="O731" s="35">
        <f t="shared" ref="O731:O754" si="626">IF(F731=0,"",N731*L731)</f>
        <v>286.59900000000005</v>
      </c>
      <c r="P731" s="38">
        <f t="shared" ref="P731:P754" si="627">IF(F731=0,"",K731+O731)</f>
        <v>589.86900000000003</v>
      </c>
      <c r="Q731" s="2"/>
    </row>
    <row r="732" spans="1:17" x14ac:dyDescent="0.25">
      <c r="A732" s="122" t="str">
        <f>IF(TRIM(G732)&lt;&gt;"",COUNTA(G$7:$G732)&amp;"","")</f>
        <v>595</v>
      </c>
      <c r="B732" s="123"/>
      <c r="C732" s="123"/>
      <c r="D732" s="222"/>
      <c r="E732" s="220" t="s">
        <v>886</v>
      </c>
      <c r="F732" s="224">
        <v>4</v>
      </c>
      <c r="G732" s="125" t="s">
        <v>250</v>
      </c>
      <c r="H732" s="33">
        <v>0</v>
      </c>
      <c r="I732" s="82">
        <f t="shared" si="623"/>
        <v>4</v>
      </c>
      <c r="J732" s="225">
        <v>183.8</v>
      </c>
      <c r="K732" s="35">
        <f t="shared" si="624"/>
        <v>735.2</v>
      </c>
      <c r="L732" s="36">
        <f t="shared" si="579"/>
        <v>83</v>
      </c>
      <c r="M732" s="37">
        <v>1.4550000000000001</v>
      </c>
      <c r="N732" s="37">
        <f t="shared" si="625"/>
        <v>5.82</v>
      </c>
      <c r="O732" s="35">
        <f t="shared" si="626"/>
        <v>483.06</v>
      </c>
      <c r="P732" s="38">
        <f t="shared" si="627"/>
        <v>1218.26</v>
      </c>
      <c r="Q732" s="2"/>
    </row>
    <row r="733" spans="1:17" x14ac:dyDescent="0.25">
      <c r="A733" s="122" t="str">
        <f>IF(TRIM(G733)&lt;&gt;"",COUNTA(G$7:$G733)&amp;"","")</f>
        <v>596</v>
      </c>
      <c r="B733" s="123"/>
      <c r="C733" s="123"/>
      <c r="D733" s="222"/>
      <c r="E733" s="220" t="s">
        <v>887</v>
      </c>
      <c r="F733" s="224">
        <v>1</v>
      </c>
      <c r="G733" s="125" t="s">
        <v>250</v>
      </c>
      <c r="H733" s="33">
        <v>0</v>
      </c>
      <c r="I733" s="82">
        <f t="shared" si="623"/>
        <v>1</v>
      </c>
      <c r="J733" s="225">
        <v>1631.23</v>
      </c>
      <c r="K733" s="35">
        <f t="shared" si="624"/>
        <v>1631.23</v>
      </c>
      <c r="L733" s="36">
        <f t="shared" si="579"/>
        <v>83</v>
      </c>
      <c r="M733" s="37">
        <v>3.871</v>
      </c>
      <c r="N733" s="37">
        <f t="shared" si="625"/>
        <v>3.871</v>
      </c>
      <c r="O733" s="35">
        <f t="shared" si="626"/>
        <v>321.29300000000001</v>
      </c>
      <c r="P733" s="38">
        <f t="shared" si="627"/>
        <v>1952.5230000000001</v>
      </c>
      <c r="Q733" s="2"/>
    </row>
    <row r="734" spans="1:17" x14ac:dyDescent="0.25">
      <c r="A734" s="122" t="str">
        <f>IF(TRIM(G734)&lt;&gt;"",COUNTA(G$7:$G734)&amp;"","")</f>
        <v>597</v>
      </c>
      <c r="B734" s="123"/>
      <c r="C734" s="123"/>
      <c r="D734" s="222"/>
      <c r="E734" s="220" t="s">
        <v>888</v>
      </c>
      <c r="F734" s="224">
        <v>1</v>
      </c>
      <c r="G734" s="125" t="s">
        <v>250</v>
      </c>
      <c r="H734" s="33">
        <v>0</v>
      </c>
      <c r="I734" s="82">
        <f t="shared" si="623"/>
        <v>1</v>
      </c>
      <c r="J734" s="225">
        <v>777</v>
      </c>
      <c r="K734" s="35">
        <f t="shared" si="624"/>
        <v>777</v>
      </c>
      <c r="L734" s="36">
        <f t="shared" si="579"/>
        <v>83</v>
      </c>
      <c r="M734" s="37">
        <v>2.67</v>
      </c>
      <c r="N734" s="37">
        <f t="shared" si="625"/>
        <v>2.67</v>
      </c>
      <c r="O734" s="35">
        <f t="shared" si="626"/>
        <v>221.60999999999999</v>
      </c>
      <c r="P734" s="38">
        <f t="shared" si="627"/>
        <v>998.61</v>
      </c>
      <c r="Q734" s="2"/>
    </row>
    <row r="735" spans="1:17" x14ac:dyDescent="0.25">
      <c r="A735" s="122" t="str">
        <f>IF(TRIM(G735)&lt;&gt;"",COUNTA(G$7:$G735)&amp;"","")</f>
        <v>598</v>
      </c>
      <c r="B735" s="123"/>
      <c r="C735" s="123"/>
      <c r="D735" s="222"/>
      <c r="E735" s="220" t="s">
        <v>889</v>
      </c>
      <c r="F735" s="224">
        <v>1</v>
      </c>
      <c r="G735" s="125" t="s">
        <v>250</v>
      </c>
      <c r="H735" s="33">
        <v>0</v>
      </c>
      <c r="I735" s="82">
        <f t="shared" si="623"/>
        <v>1</v>
      </c>
      <c r="J735" s="225">
        <v>45.25</v>
      </c>
      <c r="K735" s="35">
        <f t="shared" si="624"/>
        <v>45.25</v>
      </c>
      <c r="L735" s="36">
        <f t="shared" si="579"/>
        <v>83</v>
      </c>
      <c r="M735" s="37">
        <v>0.69599999999999995</v>
      </c>
      <c r="N735" s="37">
        <f t="shared" si="625"/>
        <v>0.69599999999999995</v>
      </c>
      <c r="O735" s="35">
        <f t="shared" si="626"/>
        <v>57.767999999999994</v>
      </c>
      <c r="P735" s="38">
        <f t="shared" si="627"/>
        <v>103.018</v>
      </c>
      <c r="Q735" s="2"/>
    </row>
    <row r="736" spans="1:17" x14ac:dyDescent="0.25">
      <c r="A736" s="122" t="str">
        <f>IF(TRIM(G736)&lt;&gt;"",COUNTA(G$7:$G736)&amp;"","")</f>
        <v>599</v>
      </c>
      <c r="B736" s="123"/>
      <c r="C736" s="123"/>
      <c r="D736" s="222"/>
      <c r="E736" s="220" t="s">
        <v>890</v>
      </c>
      <c r="F736" s="224">
        <v>2</v>
      </c>
      <c r="G736" s="125" t="s">
        <v>250</v>
      </c>
      <c r="H736" s="33">
        <v>0</v>
      </c>
      <c r="I736" s="82">
        <f t="shared" si="623"/>
        <v>2</v>
      </c>
      <c r="J736" s="225">
        <v>45.49</v>
      </c>
      <c r="K736" s="35">
        <f t="shared" si="624"/>
        <v>90.98</v>
      </c>
      <c r="L736" s="36">
        <f t="shared" si="579"/>
        <v>83</v>
      </c>
      <c r="M736" s="37">
        <v>0.8</v>
      </c>
      <c r="N736" s="37">
        <f t="shared" si="625"/>
        <v>1.6</v>
      </c>
      <c r="O736" s="35">
        <f t="shared" si="626"/>
        <v>132.80000000000001</v>
      </c>
      <c r="P736" s="38">
        <f t="shared" si="627"/>
        <v>223.78000000000003</v>
      </c>
      <c r="Q736" s="2"/>
    </row>
    <row r="737" spans="1:17" x14ac:dyDescent="0.25">
      <c r="A737" s="122" t="str">
        <f>IF(TRIM(G737)&lt;&gt;"",COUNTA(G$7:$G737)&amp;"","")</f>
        <v>600</v>
      </c>
      <c r="B737" s="123"/>
      <c r="C737" s="123"/>
      <c r="D737" s="222"/>
      <c r="E737" s="220" t="s">
        <v>891</v>
      </c>
      <c r="F737" s="224">
        <f>7+2</f>
        <v>9</v>
      </c>
      <c r="G737" s="125" t="s">
        <v>250</v>
      </c>
      <c r="H737" s="33">
        <v>0</v>
      </c>
      <c r="I737" s="82">
        <f t="shared" si="623"/>
        <v>9</v>
      </c>
      <c r="J737" s="225">
        <v>123.15</v>
      </c>
      <c r="K737" s="35">
        <f t="shared" si="624"/>
        <v>1108.3500000000001</v>
      </c>
      <c r="L737" s="36">
        <f t="shared" si="579"/>
        <v>83</v>
      </c>
      <c r="M737" s="37">
        <v>1.151</v>
      </c>
      <c r="N737" s="37">
        <f t="shared" si="625"/>
        <v>10.359</v>
      </c>
      <c r="O737" s="35">
        <f t="shared" si="626"/>
        <v>859.79700000000003</v>
      </c>
      <c r="P737" s="38">
        <f t="shared" si="627"/>
        <v>1968.1470000000002</v>
      </c>
      <c r="Q737" s="2"/>
    </row>
    <row r="738" spans="1:17" x14ac:dyDescent="0.25">
      <c r="A738" s="122" t="str">
        <f>IF(TRIM(G738)&lt;&gt;"",COUNTA(G$7:$G738)&amp;"","")</f>
        <v>601</v>
      </c>
      <c r="B738" s="123"/>
      <c r="C738" s="123"/>
      <c r="D738" s="222"/>
      <c r="E738" s="220" t="s">
        <v>892</v>
      </c>
      <c r="F738" s="224">
        <v>3</v>
      </c>
      <c r="G738" s="125" t="s">
        <v>250</v>
      </c>
      <c r="H738" s="33">
        <v>0</v>
      </c>
      <c r="I738" s="82">
        <f t="shared" si="623"/>
        <v>3</v>
      </c>
      <c r="J738" s="225">
        <v>15.64</v>
      </c>
      <c r="K738" s="35">
        <f t="shared" si="624"/>
        <v>46.92</v>
      </c>
      <c r="L738" s="36">
        <f t="shared" si="579"/>
        <v>83</v>
      </c>
      <c r="M738" s="37">
        <v>1.032</v>
      </c>
      <c r="N738" s="37">
        <f t="shared" si="625"/>
        <v>3.0960000000000001</v>
      </c>
      <c r="O738" s="35">
        <f t="shared" si="626"/>
        <v>256.96800000000002</v>
      </c>
      <c r="P738" s="38">
        <f t="shared" si="627"/>
        <v>303.88800000000003</v>
      </c>
      <c r="Q738" s="2"/>
    </row>
    <row r="739" spans="1:17" x14ac:dyDescent="0.25">
      <c r="A739" s="122" t="str">
        <f>IF(TRIM(G739)&lt;&gt;"",COUNTA(G$7:$G739)&amp;"","")</f>
        <v>602</v>
      </c>
      <c r="B739" s="123"/>
      <c r="C739" s="123"/>
      <c r="D739" s="222"/>
      <c r="E739" s="220" t="s">
        <v>893</v>
      </c>
      <c r="F739" s="224">
        <v>5</v>
      </c>
      <c r="G739" s="125" t="s">
        <v>250</v>
      </c>
      <c r="H739" s="33">
        <v>0</v>
      </c>
      <c r="I739" s="82">
        <f t="shared" si="623"/>
        <v>5</v>
      </c>
      <c r="J739" s="225">
        <v>17.89</v>
      </c>
      <c r="K739" s="35">
        <f t="shared" si="624"/>
        <v>89.45</v>
      </c>
      <c r="L739" s="36">
        <f t="shared" si="579"/>
        <v>83</v>
      </c>
      <c r="M739" s="37">
        <v>1.0669999999999999</v>
      </c>
      <c r="N739" s="37">
        <f t="shared" si="625"/>
        <v>5.335</v>
      </c>
      <c r="O739" s="35">
        <f t="shared" si="626"/>
        <v>442.80500000000001</v>
      </c>
      <c r="P739" s="38">
        <f t="shared" si="627"/>
        <v>532.255</v>
      </c>
      <c r="Q739" s="2"/>
    </row>
    <row r="740" spans="1:17" x14ac:dyDescent="0.25">
      <c r="A740" s="122" t="str">
        <f>IF(TRIM(G740)&lt;&gt;"",COUNTA(G$7:$G740)&amp;"","")</f>
        <v>603</v>
      </c>
      <c r="B740" s="123"/>
      <c r="C740" s="123"/>
      <c r="D740" s="222"/>
      <c r="E740" s="220" t="s">
        <v>894</v>
      </c>
      <c r="F740" s="224">
        <v>2</v>
      </c>
      <c r="G740" s="125" t="s">
        <v>250</v>
      </c>
      <c r="H740" s="33">
        <v>0</v>
      </c>
      <c r="I740" s="82">
        <f t="shared" si="623"/>
        <v>2</v>
      </c>
      <c r="J740" s="225">
        <v>23.95</v>
      </c>
      <c r="K740" s="35">
        <f t="shared" si="624"/>
        <v>47.9</v>
      </c>
      <c r="L740" s="36">
        <f t="shared" si="579"/>
        <v>83</v>
      </c>
      <c r="M740" s="37">
        <v>1.1399999999999999</v>
      </c>
      <c r="N740" s="37">
        <f t="shared" si="625"/>
        <v>2.2799999999999998</v>
      </c>
      <c r="O740" s="35">
        <f t="shared" si="626"/>
        <v>189.23999999999998</v>
      </c>
      <c r="P740" s="38">
        <f t="shared" si="627"/>
        <v>237.14</v>
      </c>
      <c r="Q740" s="2"/>
    </row>
    <row r="741" spans="1:17" x14ac:dyDescent="0.25">
      <c r="A741" s="122" t="str">
        <f>IF(TRIM(G741)&lt;&gt;"",COUNTA(G$7:$G741)&amp;"","")</f>
        <v>604</v>
      </c>
      <c r="B741" s="123"/>
      <c r="C741" s="123"/>
      <c r="D741" s="222"/>
      <c r="E741" s="220" t="s">
        <v>895</v>
      </c>
      <c r="F741" s="224">
        <v>13</v>
      </c>
      <c r="G741" s="125" t="s">
        <v>250</v>
      </c>
      <c r="H741" s="33">
        <v>0</v>
      </c>
      <c r="I741" s="82">
        <f t="shared" si="623"/>
        <v>13</v>
      </c>
      <c r="J741" s="225">
        <v>30.95</v>
      </c>
      <c r="K741" s="35">
        <f t="shared" si="624"/>
        <v>402.34999999999997</v>
      </c>
      <c r="L741" s="36">
        <f t="shared" si="579"/>
        <v>83</v>
      </c>
      <c r="M741" s="37">
        <v>1.18</v>
      </c>
      <c r="N741" s="37">
        <f t="shared" si="625"/>
        <v>15.34</v>
      </c>
      <c r="O741" s="35">
        <f t="shared" si="626"/>
        <v>1273.22</v>
      </c>
      <c r="P741" s="38">
        <f t="shared" si="627"/>
        <v>1675.57</v>
      </c>
      <c r="Q741" s="2"/>
    </row>
    <row r="742" spans="1:17" x14ac:dyDescent="0.25">
      <c r="A742" s="122" t="str">
        <f>IF(TRIM(G742)&lt;&gt;"",COUNTA(G$7:$G742)&amp;"","")</f>
        <v>605</v>
      </c>
      <c r="B742" s="123"/>
      <c r="C742" s="123"/>
      <c r="D742" s="222"/>
      <c r="E742" s="220" t="s">
        <v>896</v>
      </c>
      <c r="F742" s="224">
        <v>2</v>
      </c>
      <c r="G742" s="125" t="s">
        <v>250</v>
      </c>
      <c r="H742" s="33">
        <v>0</v>
      </c>
      <c r="I742" s="82">
        <f t="shared" si="623"/>
        <v>2</v>
      </c>
      <c r="J742" s="225">
        <v>224.24</v>
      </c>
      <c r="K742" s="35">
        <f t="shared" si="624"/>
        <v>448.48</v>
      </c>
      <c r="L742" s="36">
        <f t="shared" si="579"/>
        <v>83</v>
      </c>
      <c r="M742" s="37">
        <v>1.4550000000000001</v>
      </c>
      <c r="N742" s="37">
        <f t="shared" si="625"/>
        <v>2.91</v>
      </c>
      <c r="O742" s="35">
        <f t="shared" si="626"/>
        <v>241.53</v>
      </c>
      <c r="P742" s="38">
        <f t="shared" si="627"/>
        <v>690.01</v>
      </c>
      <c r="Q742" s="2"/>
    </row>
    <row r="743" spans="1:17" x14ac:dyDescent="0.25">
      <c r="A743" s="122" t="str">
        <f>IF(TRIM(G743)&lt;&gt;"",COUNTA(G$7:$G743)&amp;"","")</f>
        <v>606</v>
      </c>
      <c r="B743" s="123"/>
      <c r="C743" s="123"/>
      <c r="D743" s="222"/>
      <c r="E743" s="220" t="s">
        <v>897</v>
      </c>
      <c r="F743" s="224">
        <v>1</v>
      </c>
      <c r="G743" s="125" t="s">
        <v>250</v>
      </c>
      <c r="H743" s="33">
        <v>0</v>
      </c>
      <c r="I743" s="82">
        <f t="shared" si="623"/>
        <v>1</v>
      </c>
      <c r="J743" s="225">
        <v>247.95</v>
      </c>
      <c r="K743" s="35">
        <f t="shared" si="624"/>
        <v>247.95</v>
      </c>
      <c r="L743" s="36">
        <f t="shared" si="579"/>
        <v>83</v>
      </c>
      <c r="M743" s="37">
        <v>2.12</v>
      </c>
      <c r="N743" s="37">
        <f t="shared" si="625"/>
        <v>2.12</v>
      </c>
      <c r="O743" s="35">
        <f t="shared" si="626"/>
        <v>175.96</v>
      </c>
      <c r="P743" s="38">
        <f t="shared" si="627"/>
        <v>423.90999999999997</v>
      </c>
      <c r="Q743" s="2"/>
    </row>
    <row r="744" spans="1:17" x14ac:dyDescent="0.25">
      <c r="A744" s="122" t="str">
        <f>IF(TRIM(G744)&lt;&gt;"",COUNTA(G$7:$G744)&amp;"","")</f>
        <v>607</v>
      </c>
      <c r="B744" s="123"/>
      <c r="C744" s="123"/>
      <c r="D744" s="222"/>
      <c r="E744" s="220" t="s">
        <v>898</v>
      </c>
      <c r="F744" s="224">
        <v>1</v>
      </c>
      <c r="G744" s="125" t="s">
        <v>250</v>
      </c>
      <c r="H744" s="33">
        <v>0</v>
      </c>
      <c r="I744" s="82">
        <f t="shared" si="623"/>
        <v>1</v>
      </c>
      <c r="J744" s="225">
        <v>298.33</v>
      </c>
      <c r="K744" s="35">
        <f t="shared" si="624"/>
        <v>298.33</v>
      </c>
      <c r="L744" s="36">
        <f t="shared" si="579"/>
        <v>83</v>
      </c>
      <c r="M744" s="37">
        <v>2.319</v>
      </c>
      <c r="N744" s="37">
        <f t="shared" si="625"/>
        <v>2.319</v>
      </c>
      <c r="O744" s="35">
        <f t="shared" si="626"/>
        <v>192.477</v>
      </c>
      <c r="P744" s="38">
        <f t="shared" si="627"/>
        <v>490.80700000000002</v>
      </c>
      <c r="Q744" s="2"/>
    </row>
    <row r="745" spans="1:17" x14ac:dyDescent="0.25">
      <c r="A745" s="122" t="str">
        <f>IF(TRIM(G745)&lt;&gt;"",COUNTA(G$7:$G745)&amp;"","")</f>
        <v>608</v>
      </c>
      <c r="B745" s="123"/>
      <c r="C745" s="123"/>
      <c r="D745" s="222"/>
      <c r="E745" s="220" t="s">
        <v>899</v>
      </c>
      <c r="F745" s="224">
        <v>1</v>
      </c>
      <c r="G745" s="125" t="s">
        <v>250</v>
      </c>
      <c r="H745" s="33">
        <v>0</v>
      </c>
      <c r="I745" s="82">
        <f t="shared" si="623"/>
        <v>1</v>
      </c>
      <c r="J745" s="225">
        <v>1148.75</v>
      </c>
      <c r="K745" s="35">
        <f t="shared" si="624"/>
        <v>1148.75</v>
      </c>
      <c r="L745" s="36">
        <f t="shared" si="579"/>
        <v>83</v>
      </c>
      <c r="M745" s="37">
        <v>3.871</v>
      </c>
      <c r="N745" s="37">
        <f t="shared" si="625"/>
        <v>3.871</v>
      </c>
      <c r="O745" s="35">
        <f t="shared" si="626"/>
        <v>321.29300000000001</v>
      </c>
      <c r="P745" s="38">
        <f t="shared" si="627"/>
        <v>1470.0430000000001</v>
      </c>
      <c r="Q745" s="2"/>
    </row>
    <row r="746" spans="1:17" x14ac:dyDescent="0.25">
      <c r="A746" s="122" t="str">
        <f>IF(TRIM(G746)&lt;&gt;"",COUNTA(G$7:$G746)&amp;"","")</f>
        <v>609</v>
      </c>
      <c r="B746" s="123"/>
      <c r="C746" s="123"/>
      <c r="D746" s="222"/>
      <c r="E746" s="220" t="s">
        <v>900</v>
      </c>
      <c r="F746" s="224">
        <v>2</v>
      </c>
      <c r="G746" s="125" t="s">
        <v>250</v>
      </c>
      <c r="H746" s="33">
        <v>0</v>
      </c>
      <c r="I746" s="82">
        <f t="shared" si="623"/>
        <v>2</v>
      </c>
      <c r="J746" s="225">
        <v>789.95</v>
      </c>
      <c r="K746" s="35">
        <f t="shared" si="624"/>
        <v>1579.9</v>
      </c>
      <c r="L746" s="36">
        <f t="shared" si="579"/>
        <v>83</v>
      </c>
      <c r="M746" s="37">
        <v>2.4500000000000002</v>
      </c>
      <c r="N746" s="37">
        <f t="shared" si="625"/>
        <v>4.9000000000000004</v>
      </c>
      <c r="O746" s="35">
        <f t="shared" si="626"/>
        <v>406.70000000000005</v>
      </c>
      <c r="P746" s="38">
        <f t="shared" si="627"/>
        <v>1986.6000000000001</v>
      </c>
      <c r="Q746" s="2"/>
    </row>
    <row r="747" spans="1:17" x14ac:dyDescent="0.25">
      <c r="A747" s="122" t="str">
        <f>IF(TRIM(G747)&lt;&gt;"",COUNTA(G$7:$G747)&amp;"","")</f>
        <v>610</v>
      </c>
      <c r="B747" s="123"/>
      <c r="C747" s="123"/>
      <c r="D747" s="222"/>
      <c r="E747" s="220" t="s">
        <v>901</v>
      </c>
      <c r="F747" s="224">
        <v>4</v>
      </c>
      <c r="G747" s="125" t="s">
        <v>250</v>
      </c>
      <c r="H747" s="33">
        <v>0</v>
      </c>
      <c r="I747" s="82">
        <f t="shared" si="623"/>
        <v>4</v>
      </c>
      <c r="J747" s="225">
        <v>824.65</v>
      </c>
      <c r="K747" s="35">
        <f t="shared" si="624"/>
        <v>3298.6</v>
      </c>
      <c r="L747" s="36">
        <f t="shared" si="579"/>
        <v>83</v>
      </c>
      <c r="M747" s="37">
        <v>2.68</v>
      </c>
      <c r="N747" s="37">
        <f t="shared" si="625"/>
        <v>10.72</v>
      </c>
      <c r="O747" s="35">
        <f t="shared" si="626"/>
        <v>889.7600000000001</v>
      </c>
      <c r="P747" s="38">
        <f t="shared" si="627"/>
        <v>4188.3599999999997</v>
      </c>
      <c r="Q747" s="2"/>
    </row>
    <row r="748" spans="1:17" x14ac:dyDescent="0.25">
      <c r="A748" s="122" t="str">
        <f>IF(TRIM(G748)&lt;&gt;"",COUNTA(G$7:$G748)&amp;"","")</f>
        <v>611</v>
      </c>
      <c r="B748" s="123"/>
      <c r="C748" s="123"/>
      <c r="D748" s="222"/>
      <c r="E748" s="220" t="s">
        <v>902</v>
      </c>
      <c r="F748" s="224">
        <v>1</v>
      </c>
      <c r="G748" s="125" t="s">
        <v>250</v>
      </c>
      <c r="H748" s="33">
        <v>0</v>
      </c>
      <c r="I748" s="82">
        <f t="shared" si="623"/>
        <v>1</v>
      </c>
      <c r="J748" s="225">
        <v>879.95</v>
      </c>
      <c r="K748" s="35">
        <f t="shared" si="624"/>
        <v>879.95</v>
      </c>
      <c r="L748" s="36">
        <f t="shared" si="579"/>
        <v>83</v>
      </c>
      <c r="M748" s="37">
        <v>3.12</v>
      </c>
      <c r="N748" s="37">
        <f t="shared" si="625"/>
        <v>3.12</v>
      </c>
      <c r="O748" s="35">
        <f t="shared" si="626"/>
        <v>258.96000000000004</v>
      </c>
      <c r="P748" s="38">
        <f t="shared" si="627"/>
        <v>1138.9100000000001</v>
      </c>
      <c r="Q748" s="2"/>
    </row>
    <row r="749" spans="1:17" x14ac:dyDescent="0.25">
      <c r="A749" s="122" t="str">
        <f>IF(TRIM(G749)&lt;&gt;"",COUNTA(G$7:$G749)&amp;"","")</f>
        <v>612</v>
      </c>
      <c r="B749" s="123"/>
      <c r="C749" s="123"/>
      <c r="D749" s="222"/>
      <c r="E749" s="220" t="s">
        <v>903</v>
      </c>
      <c r="F749" s="224">
        <v>1</v>
      </c>
      <c r="G749" s="125" t="s">
        <v>250</v>
      </c>
      <c r="H749" s="33">
        <v>0</v>
      </c>
      <c r="I749" s="82">
        <f t="shared" si="623"/>
        <v>1</v>
      </c>
      <c r="J749" s="225">
        <v>238.94</v>
      </c>
      <c r="K749" s="35">
        <f t="shared" si="624"/>
        <v>238.94</v>
      </c>
      <c r="L749" s="36">
        <f t="shared" si="579"/>
        <v>83</v>
      </c>
      <c r="M749" s="37">
        <v>3.75</v>
      </c>
      <c r="N749" s="37">
        <f t="shared" si="625"/>
        <v>3.75</v>
      </c>
      <c r="O749" s="35">
        <f t="shared" si="626"/>
        <v>311.25</v>
      </c>
      <c r="P749" s="38">
        <f t="shared" si="627"/>
        <v>550.19000000000005</v>
      </c>
      <c r="Q749" s="2"/>
    </row>
    <row r="750" spans="1:17" x14ac:dyDescent="0.25">
      <c r="A750" s="122" t="str">
        <f>IF(TRIM(G750)&lt;&gt;"",COUNTA(G$7:$G750)&amp;"","")</f>
        <v>613</v>
      </c>
      <c r="B750" s="123"/>
      <c r="C750" s="123"/>
      <c r="D750" s="222"/>
      <c r="E750" s="220" t="s">
        <v>904</v>
      </c>
      <c r="F750" s="224">
        <v>2</v>
      </c>
      <c r="G750" s="125" t="s">
        <v>250</v>
      </c>
      <c r="H750" s="33">
        <v>0</v>
      </c>
      <c r="I750" s="82">
        <f t="shared" si="623"/>
        <v>2</v>
      </c>
      <c r="J750" s="225">
        <v>85.95</v>
      </c>
      <c r="K750" s="35">
        <f t="shared" si="624"/>
        <v>171.9</v>
      </c>
      <c r="L750" s="36">
        <f t="shared" si="579"/>
        <v>83</v>
      </c>
      <c r="M750" s="37">
        <v>0.81</v>
      </c>
      <c r="N750" s="37">
        <f t="shared" si="625"/>
        <v>1.62</v>
      </c>
      <c r="O750" s="35">
        <f t="shared" si="626"/>
        <v>134.46</v>
      </c>
      <c r="P750" s="38">
        <f t="shared" si="627"/>
        <v>306.36</v>
      </c>
      <c r="Q750" s="2"/>
    </row>
    <row r="751" spans="1:17" x14ac:dyDescent="0.25">
      <c r="A751" s="122" t="str">
        <f>IF(TRIM(G751)&lt;&gt;"",COUNTA(G$7:$G751)&amp;"","")</f>
        <v>614</v>
      </c>
      <c r="B751" s="123"/>
      <c r="C751" s="123"/>
      <c r="D751" s="222"/>
      <c r="E751" s="220" t="s">
        <v>905</v>
      </c>
      <c r="F751" s="224">
        <v>10</v>
      </c>
      <c r="G751" s="125" t="s">
        <v>250</v>
      </c>
      <c r="H751" s="33">
        <v>0</v>
      </c>
      <c r="I751" s="82">
        <f t="shared" si="623"/>
        <v>10</v>
      </c>
      <c r="J751" s="225">
        <v>108.44</v>
      </c>
      <c r="K751" s="35">
        <f t="shared" si="624"/>
        <v>1084.4000000000001</v>
      </c>
      <c r="L751" s="36">
        <f t="shared" si="579"/>
        <v>83</v>
      </c>
      <c r="M751" s="37">
        <v>0.95199999999999996</v>
      </c>
      <c r="N751" s="37">
        <f t="shared" si="625"/>
        <v>9.52</v>
      </c>
      <c r="O751" s="35">
        <f t="shared" si="626"/>
        <v>790.16</v>
      </c>
      <c r="P751" s="38">
        <f t="shared" si="627"/>
        <v>1874.56</v>
      </c>
      <c r="Q751" s="2"/>
    </row>
    <row r="752" spans="1:17" x14ac:dyDescent="0.25">
      <c r="A752" s="122" t="str">
        <f>IF(TRIM(G752)&lt;&gt;"",COUNTA(G$7:$G752)&amp;"","")</f>
        <v>615</v>
      </c>
      <c r="B752" s="123"/>
      <c r="C752" s="123"/>
      <c r="D752" s="222"/>
      <c r="E752" s="220" t="s">
        <v>906</v>
      </c>
      <c r="F752" s="224">
        <f>2+2</f>
        <v>4</v>
      </c>
      <c r="G752" s="125" t="s">
        <v>250</v>
      </c>
      <c r="H752" s="33">
        <v>0</v>
      </c>
      <c r="I752" s="82">
        <f t="shared" si="623"/>
        <v>4</v>
      </c>
      <c r="J752" s="225">
        <v>247.21</v>
      </c>
      <c r="K752" s="35">
        <f t="shared" si="624"/>
        <v>988.84</v>
      </c>
      <c r="L752" s="36">
        <f t="shared" si="579"/>
        <v>83</v>
      </c>
      <c r="M752" s="37">
        <v>1.538</v>
      </c>
      <c r="N752" s="37">
        <f t="shared" si="625"/>
        <v>6.1520000000000001</v>
      </c>
      <c r="O752" s="35">
        <f t="shared" si="626"/>
        <v>510.61599999999999</v>
      </c>
      <c r="P752" s="38">
        <f t="shared" si="627"/>
        <v>1499.4560000000001</v>
      </c>
      <c r="Q752" s="2"/>
    </row>
    <row r="753" spans="1:17" x14ac:dyDescent="0.25">
      <c r="A753" s="122" t="str">
        <f>IF(TRIM(G753)&lt;&gt;"",COUNTA(G$7:$G753)&amp;"","")</f>
        <v>616</v>
      </c>
      <c r="B753" s="123"/>
      <c r="C753" s="123"/>
      <c r="D753" s="222"/>
      <c r="E753" s="220" t="s">
        <v>907</v>
      </c>
      <c r="F753" s="224">
        <v>2</v>
      </c>
      <c r="G753" s="125" t="s">
        <v>250</v>
      </c>
      <c r="H753" s="33">
        <v>0</v>
      </c>
      <c r="I753" s="82">
        <f t="shared" si="623"/>
        <v>2</v>
      </c>
      <c r="J753" s="225">
        <v>183.8</v>
      </c>
      <c r="K753" s="35">
        <f t="shared" si="624"/>
        <v>367.6</v>
      </c>
      <c r="L753" s="36">
        <f t="shared" si="579"/>
        <v>83</v>
      </c>
      <c r="M753" s="37">
        <v>1.5089999999999999</v>
      </c>
      <c r="N753" s="37">
        <f t="shared" si="625"/>
        <v>3.0179999999999998</v>
      </c>
      <c r="O753" s="35">
        <f t="shared" si="626"/>
        <v>250.49399999999997</v>
      </c>
      <c r="P753" s="38">
        <f t="shared" si="627"/>
        <v>618.09400000000005</v>
      </c>
      <c r="Q753" s="2"/>
    </row>
    <row r="754" spans="1:17" x14ac:dyDescent="0.25">
      <c r="A754" s="122" t="str">
        <f>IF(TRIM(G754)&lt;&gt;"",COUNTA(G$7:$G754)&amp;"","")</f>
        <v>617</v>
      </c>
      <c r="B754" s="123"/>
      <c r="C754" s="123"/>
      <c r="D754" s="222"/>
      <c r="E754" s="220" t="s">
        <v>908</v>
      </c>
      <c r="F754" s="224">
        <v>1</v>
      </c>
      <c r="G754" s="125" t="s">
        <v>250</v>
      </c>
      <c r="H754" s="33">
        <v>0</v>
      </c>
      <c r="I754" s="82">
        <f t="shared" si="623"/>
        <v>1</v>
      </c>
      <c r="J754" s="225">
        <v>1001.83</v>
      </c>
      <c r="K754" s="35">
        <f t="shared" si="624"/>
        <v>1001.83</v>
      </c>
      <c r="L754" s="36">
        <f t="shared" si="579"/>
        <v>83</v>
      </c>
      <c r="M754" s="37">
        <v>2.2069999999999999</v>
      </c>
      <c r="N754" s="37">
        <f t="shared" si="625"/>
        <v>2.2069999999999999</v>
      </c>
      <c r="O754" s="35">
        <f t="shared" si="626"/>
        <v>183.18099999999998</v>
      </c>
      <c r="P754" s="38">
        <f t="shared" si="627"/>
        <v>1185.011</v>
      </c>
      <c r="Q754" s="2"/>
    </row>
    <row r="755" spans="1:17" x14ac:dyDescent="0.25">
      <c r="A755" s="122" t="str">
        <f>IF(TRIM(G755)&lt;&gt;"",COUNTA(G$7:$G755)&amp;"","")</f>
        <v/>
      </c>
      <c r="B755" s="123"/>
      <c r="C755" s="123"/>
      <c r="D755" s="222"/>
      <c r="E755" s="104"/>
      <c r="F755" s="224"/>
      <c r="G755" s="125"/>
      <c r="H755" s="33"/>
      <c r="I755" s="82"/>
      <c r="J755" s="225"/>
      <c r="K755" s="35"/>
      <c r="L755" s="36" t="str">
        <f t="shared" si="579"/>
        <v/>
      </c>
      <c r="M755" s="37"/>
      <c r="N755" s="37"/>
      <c r="O755" s="35"/>
      <c r="P755" s="38"/>
      <c r="Q755" s="2"/>
    </row>
    <row r="756" spans="1:17" x14ac:dyDescent="0.25">
      <c r="A756" s="122" t="str">
        <f>IF(TRIM(G756)&lt;&gt;"",COUNTA(G$7:$G756)&amp;"","")</f>
        <v/>
      </c>
      <c r="B756" s="123"/>
      <c r="C756" s="123"/>
      <c r="D756" s="222"/>
      <c r="E756" s="223" t="s">
        <v>909</v>
      </c>
      <c r="F756" s="224"/>
      <c r="G756" s="125"/>
      <c r="H756" s="33"/>
      <c r="I756" s="82" t="str">
        <f t="shared" ref="I756:I757" si="628">IF(F756=0,"",F756+(F756*H756))</f>
        <v/>
      </c>
      <c r="J756" s="225"/>
      <c r="K756" s="35" t="str">
        <f t="shared" ref="K756:K757" si="629">IF(F756=0,"",J756*I756)</f>
        <v/>
      </c>
      <c r="L756" s="36" t="str">
        <f t="shared" si="579"/>
        <v/>
      </c>
      <c r="M756" s="37"/>
      <c r="N756" s="37" t="str">
        <f t="shared" ref="N756:N757" si="630">IF(F756=0,"",M756*I756)</f>
        <v/>
      </c>
      <c r="O756" s="35" t="str">
        <f t="shared" ref="O756:O757" si="631">IF(F756=0,"",N756*L756)</f>
        <v/>
      </c>
      <c r="P756" s="38" t="str">
        <f t="shared" ref="P756:P757" si="632">IF(F756=0,"",K756+O756)</f>
        <v/>
      </c>
      <c r="Q756" s="2"/>
    </row>
    <row r="757" spans="1:17" x14ac:dyDescent="0.25">
      <c r="A757" s="122" t="str">
        <f>IF(TRIM(G757)&lt;&gt;"",COUNTA(G$7:$G757)&amp;"","")</f>
        <v/>
      </c>
      <c r="B757" s="123"/>
      <c r="C757" s="123"/>
      <c r="D757" s="222"/>
      <c r="E757" s="226" t="s">
        <v>910</v>
      </c>
      <c r="F757" s="224"/>
      <c r="G757" s="125"/>
      <c r="H757" s="33"/>
      <c r="I757" s="82" t="str">
        <f t="shared" si="628"/>
        <v/>
      </c>
      <c r="J757" s="225"/>
      <c r="K757" s="35" t="str">
        <f t="shared" si="629"/>
        <v/>
      </c>
      <c r="L757" s="36" t="str">
        <f t="shared" si="579"/>
        <v/>
      </c>
      <c r="M757" s="37"/>
      <c r="N757" s="37" t="str">
        <f t="shared" si="630"/>
        <v/>
      </c>
      <c r="O757" s="35" t="str">
        <f t="shared" si="631"/>
        <v/>
      </c>
      <c r="P757" s="38" t="str">
        <f t="shared" si="632"/>
        <v/>
      </c>
      <c r="Q757" s="2"/>
    </row>
    <row r="758" spans="1:17" x14ac:dyDescent="0.25">
      <c r="A758" s="122" t="str">
        <f>IF(TRIM(G758)&lt;&gt;"",COUNTA(G$7:$G758)&amp;"","")</f>
        <v>618</v>
      </c>
      <c r="B758" s="123"/>
      <c r="C758" s="123"/>
      <c r="D758" s="222"/>
      <c r="E758" s="104" t="s">
        <v>911</v>
      </c>
      <c r="F758" s="224">
        <v>142.79</v>
      </c>
      <c r="G758" s="125" t="s">
        <v>228</v>
      </c>
      <c r="H758" s="33">
        <v>0.1</v>
      </c>
      <c r="I758" s="82">
        <f>IF(F758=0,"",F758+(F758*H758))</f>
        <v>157.06899999999999</v>
      </c>
      <c r="J758" s="225">
        <v>4.04</v>
      </c>
      <c r="K758" s="35">
        <f>IF(F758=0,"",J758*I758)</f>
        <v>634.55876000000001</v>
      </c>
      <c r="L758" s="36">
        <f t="shared" si="579"/>
        <v>83</v>
      </c>
      <c r="M758" s="37">
        <v>0.10299999999999999</v>
      </c>
      <c r="N758" s="37">
        <f>IF(F758=0,"",M758*I758)</f>
        <v>16.178106999999997</v>
      </c>
      <c r="O758" s="35">
        <f>IF(F758=0,"",N758*L758)</f>
        <v>1342.7828809999999</v>
      </c>
      <c r="P758" s="38">
        <f>IF(F758=0,"",K758+O758)</f>
        <v>1977.341641</v>
      </c>
      <c r="Q758" s="2"/>
    </row>
    <row r="759" spans="1:17" x14ac:dyDescent="0.25">
      <c r="A759" s="122" t="str">
        <f>IF(TRIM(G759)&lt;&gt;"",COUNTA(G$7:$G759)&amp;"","")</f>
        <v/>
      </c>
      <c r="B759" s="123"/>
      <c r="C759" s="123"/>
      <c r="D759" s="222"/>
      <c r="E759" s="104"/>
      <c r="F759" s="224"/>
      <c r="G759" s="125"/>
      <c r="H759" s="33"/>
      <c r="I759" s="82" t="str">
        <f t="shared" ref="I759:I774" si="633">IF(F759=0,"",F759+(F759*H759))</f>
        <v/>
      </c>
      <c r="J759" s="225"/>
      <c r="K759" s="35" t="str">
        <f t="shared" ref="K759:K774" si="634">IF(F759=0,"",J759*I759)</f>
        <v/>
      </c>
      <c r="L759" s="36" t="str">
        <f t="shared" si="579"/>
        <v/>
      </c>
      <c r="M759" s="37"/>
      <c r="N759" s="37" t="str">
        <f t="shared" ref="N759:N774" si="635">IF(F759=0,"",M759*I759)</f>
        <v/>
      </c>
      <c r="O759" s="35" t="str">
        <f t="shared" ref="O759:O774" si="636">IF(F759=0,"",N759*L759)</f>
        <v/>
      </c>
      <c r="P759" s="38" t="str">
        <f t="shared" ref="P759:P774" si="637">IF(F759=0,"",K759+O759)</f>
        <v/>
      </c>
      <c r="Q759" s="2"/>
    </row>
    <row r="760" spans="1:17" x14ac:dyDescent="0.25">
      <c r="A760" s="122" t="str">
        <f>IF(TRIM(G760)&lt;&gt;"",COUNTA(G$7:$G760)&amp;"","")</f>
        <v/>
      </c>
      <c r="B760" s="123"/>
      <c r="C760" s="123"/>
      <c r="D760" s="222"/>
      <c r="E760" s="226" t="s">
        <v>866</v>
      </c>
      <c r="F760" s="224"/>
      <c r="G760" s="125"/>
      <c r="H760" s="33"/>
      <c r="I760" s="82" t="str">
        <f t="shared" si="633"/>
        <v/>
      </c>
      <c r="J760" s="225"/>
      <c r="K760" s="35" t="str">
        <f t="shared" si="634"/>
        <v/>
      </c>
      <c r="L760" s="36" t="str">
        <f t="shared" si="579"/>
        <v/>
      </c>
      <c r="M760" s="37"/>
      <c r="N760" s="37" t="str">
        <f t="shared" si="635"/>
        <v/>
      </c>
      <c r="O760" s="35" t="str">
        <f t="shared" si="636"/>
        <v/>
      </c>
      <c r="P760" s="38" t="str">
        <f t="shared" si="637"/>
        <v/>
      </c>
      <c r="Q760" s="2"/>
    </row>
    <row r="761" spans="1:17" x14ac:dyDescent="0.25">
      <c r="A761" s="122" t="str">
        <f>IF(TRIM(G761)&lt;&gt;"",COUNTA(G$7:$G761)&amp;"","")</f>
        <v>619</v>
      </c>
      <c r="B761" s="123"/>
      <c r="C761" s="123"/>
      <c r="D761" s="222"/>
      <c r="E761" s="220" t="s">
        <v>912</v>
      </c>
      <c r="F761" s="224">
        <v>18</v>
      </c>
      <c r="G761" s="125" t="s">
        <v>250</v>
      </c>
      <c r="H761" s="33">
        <v>0</v>
      </c>
      <c r="I761" s="82">
        <f t="shared" si="633"/>
        <v>18</v>
      </c>
      <c r="J761" s="225">
        <v>5.05</v>
      </c>
      <c r="K761" s="35">
        <f t="shared" si="634"/>
        <v>90.899999999999991</v>
      </c>
      <c r="L761" s="36">
        <f t="shared" si="579"/>
        <v>83</v>
      </c>
      <c r="M761" s="37">
        <v>0.42099999999999999</v>
      </c>
      <c r="N761" s="37">
        <f t="shared" si="635"/>
        <v>7.5779999999999994</v>
      </c>
      <c r="O761" s="35">
        <f t="shared" si="636"/>
        <v>628.97399999999993</v>
      </c>
      <c r="P761" s="38">
        <f t="shared" si="637"/>
        <v>719.87399999999991</v>
      </c>
      <c r="Q761" s="2"/>
    </row>
    <row r="762" spans="1:17" x14ac:dyDescent="0.25">
      <c r="A762" s="122" t="str">
        <f>IF(TRIM(G762)&lt;&gt;"",COUNTA(G$7:$G762)&amp;"","")</f>
        <v/>
      </c>
      <c r="B762" s="123"/>
      <c r="C762" s="123"/>
      <c r="D762" s="222"/>
      <c r="E762" s="104"/>
      <c r="F762" s="224"/>
      <c r="G762" s="125"/>
      <c r="H762" s="33"/>
      <c r="I762" s="82" t="str">
        <f t="shared" si="633"/>
        <v/>
      </c>
      <c r="J762" s="225"/>
      <c r="K762" s="35" t="str">
        <f t="shared" si="634"/>
        <v/>
      </c>
      <c r="L762" s="36" t="str">
        <f t="shared" si="579"/>
        <v/>
      </c>
      <c r="M762" s="37"/>
      <c r="N762" s="37" t="str">
        <f t="shared" si="635"/>
        <v/>
      </c>
      <c r="O762" s="35" t="str">
        <f t="shared" si="636"/>
        <v/>
      </c>
      <c r="P762" s="38" t="str">
        <f t="shared" si="637"/>
        <v/>
      </c>
      <c r="Q762" s="2"/>
    </row>
    <row r="763" spans="1:17" x14ac:dyDescent="0.25">
      <c r="A763" s="122" t="str">
        <f>IF(TRIM(G763)&lt;&gt;"",COUNTA(G$7:$G763)&amp;"","")</f>
        <v/>
      </c>
      <c r="B763" s="123"/>
      <c r="C763" s="123"/>
      <c r="D763" s="222"/>
      <c r="E763" s="226" t="s">
        <v>913</v>
      </c>
      <c r="F763" s="224"/>
      <c r="G763" s="125"/>
      <c r="H763" s="33"/>
      <c r="I763" s="82" t="str">
        <f t="shared" si="633"/>
        <v/>
      </c>
      <c r="J763" s="225"/>
      <c r="K763" s="35" t="str">
        <f t="shared" si="634"/>
        <v/>
      </c>
      <c r="L763" s="36" t="str">
        <f t="shared" si="579"/>
        <v/>
      </c>
      <c r="M763" s="37"/>
      <c r="N763" s="37" t="str">
        <f t="shared" si="635"/>
        <v/>
      </c>
      <c r="O763" s="35" t="str">
        <f t="shared" si="636"/>
        <v/>
      </c>
      <c r="P763" s="38" t="str">
        <f t="shared" si="637"/>
        <v/>
      </c>
      <c r="Q763" s="2"/>
    </row>
    <row r="764" spans="1:17" x14ac:dyDescent="0.25">
      <c r="A764" s="122" t="str">
        <f>IF(TRIM(G764)&lt;&gt;"",COUNTA(G$7:$G764)&amp;"","")</f>
        <v>620</v>
      </c>
      <c r="B764" s="123"/>
      <c r="C764" s="123"/>
      <c r="D764" s="222"/>
      <c r="E764" s="104" t="s">
        <v>914</v>
      </c>
      <c r="F764" s="224">
        <v>4</v>
      </c>
      <c r="G764" s="125" t="s">
        <v>250</v>
      </c>
      <c r="H764" s="33">
        <v>0</v>
      </c>
      <c r="I764" s="82">
        <f t="shared" si="633"/>
        <v>4</v>
      </c>
      <c r="J764" s="225">
        <v>43.21</v>
      </c>
      <c r="K764" s="35">
        <f t="shared" si="634"/>
        <v>172.84</v>
      </c>
      <c r="L764" s="36">
        <f t="shared" si="579"/>
        <v>83</v>
      </c>
      <c r="M764" s="37">
        <v>0.67</v>
      </c>
      <c r="N764" s="37">
        <f t="shared" si="635"/>
        <v>2.68</v>
      </c>
      <c r="O764" s="35">
        <f t="shared" si="636"/>
        <v>222.44000000000003</v>
      </c>
      <c r="P764" s="38">
        <f t="shared" si="637"/>
        <v>395.28000000000003</v>
      </c>
      <c r="Q764" s="2"/>
    </row>
    <row r="765" spans="1:17" x14ac:dyDescent="0.25">
      <c r="A765" s="122" t="str">
        <f>IF(TRIM(G765)&lt;&gt;"",COUNTA(G$7:$G765)&amp;"","")</f>
        <v>621</v>
      </c>
      <c r="B765" s="123"/>
      <c r="C765" s="123"/>
      <c r="D765" s="222"/>
      <c r="E765" s="104" t="s">
        <v>915</v>
      </c>
      <c r="F765" s="224">
        <v>2</v>
      </c>
      <c r="G765" s="125" t="s">
        <v>250</v>
      </c>
      <c r="H765" s="33">
        <v>0</v>
      </c>
      <c r="I765" s="82">
        <f t="shared" si="633"/>
        <v>2</v>
      </c>
      <c r="J765" s="225">
        <v>54.231000000000002</v>
      </c>
      <c r="K765" s="35">
        <f t="shared" si="634"/>
        <v>108.462</v>
      </c>
      <c r="L765" s="36">
        <f t="shared" si="579"/>
        <v>83</v>
      </c>
      <c r="M765" s="37">
        <v>0.69899999999999995</v>
      </c>
      <c r="N765" s="37">
        <f t="shared" si="635"/>
        <v>1.3979999999999999</v>
      </c>
      <c r="O765" s="35">
        <f t="shared" si="636"/>
        <v>116.03399999999999</v>
      </c>
      <c r="P765" s="38">
        <f t="shared" si="637"/>
        <v>224.49599999999998</v>
      </c>
      <c r="Q765" s="2"/>
    </row>
    <row r="766" spans="1:17" x14ac:dyDescent="0.25">
      <c r="A766" s="122" t="str">
        <f>IF(TRIM(G766)&lt;&gt;"",COUNTA(G$7:$G766)&amp;"","")</f>
        <v>622</v>
      </c>
      <c r="B766" s="123"/>
      <c r="C766" s="123"/>
      <c r="D766" s="222"/>
      <c r="E766" s="104" t="s">
        <v>916</v>
      </c>
      <c r="F766" s="224">
        <v>3</v>
      </c>
      <c r="G766" s="125" t="s">
        <v>250</v>
      </c>
      <c r="H766" s="33">
        <v>0</v>
      </c>
      <c r="I766" s="82">
        <f t="shared" si="633"/>
        <v>3</v>
      </c>
      <c r="J766" s="225">
        <v>60.69</v>
      </c>
      <c r="K766" s="35">
        <f>IF(F766=0,"",J766*I766)</f>
        <v>182.07</v>
      </c>
      <c r="L766" s="36">
        <f t="shared" si="579"/>
        <v>83</v>
      </c>
      <c r="M766" s="37">
        <v>0.72699999999999998</v>
      </c>
      <c r="N766" s="37">
        <f t="shared" si="635"/>
        <v>2.181</v>
      </c>
      <c r="O766" s="35">
        <f t="shared" si="636"/>
        <v>181.023</v>
      </c>
      <c r="P766" s="38">
        <f t="shared" si="637"/>
        <v>363.09299999999996</v>
      </c>
      <c r="Q766" s="2"/>
    </row>
    <row r="767" spans="1:17" x14ac:dyDescent="0.25">
      <c r="A767" s="122" t="str">
        <f>IF(TRIM(G767)&lt;&gt;"",COUNTA(G$7:$G767)&amp;"","")</f>
        <v>623</v>
      </c>
      <c r="B767" s="123"/>
      <c r="C767" s="123"/>
      <c r="D767" s="222"/>
      <c r="E767" s="104" t="s">
        <v>917</v>
      </c>
      <c r="F767" s="224">
        <v>1</v>
      </c>
      <c r="G767" s="125" t="s">
        <v>250</v>
      </c>
      <c r="H767" s="33">
        <v>0</v>
      </c>
      <c r="I767" s="82">
        <f t="shared" si="633"/>
        <v>1</v>
      </c>
      <c r="J767" s="225">
        <v>85.06</v>
      </c>
      <c r="K767" s="35">
        <f t="shared" ref="K767:K771" si="638">IF(F767=0,"",J767*I767)</f>
        <v>85.06</v>
      </c>
      <c r="L767" s="36">
        <f t="shared" si="579"/>
        <v>83</v>
      </c>
      <c r="M767" s="37">
        <v>0.78700000000000003</v>
      </c>
      <c r="N767" s="37">
        <f t="shared" si="635"/>
        <v>0.78700000000000003</v>
      </c>
      <c r="O767" s="35">
        <f t="shared" si="636"/>
        <v>65.320999999999998</v>
      </c>
      <c r="P767" s="38">
        <f t="shared" si="637"/>
        <v>150.381</v>
      </c>
      <c r="Q767" s="2"/>
    </row>
    <row r="768" spans="1:17" x14ac:dyDescent="0.25">
      <c r="A768" s="122" t="str">
        <f>IF(TRIM(G768)&lt;&gt;"",COUNTA(G$7:$G768)&amp;"","")</f>
        <v>624</v>
      </c>
      <c r="B768" s="123"/>
      <c r="C768" s="123"/>
      <c r="D768" s="222"/>
      <c r="E768" s="104" t="s">
        <v>918</v>
      </c>
      <c r="F768" s="224">
        <v>10</v>
      </c>
      <c r="G768" s="125" t="s">
        <v>250</v>
      </c>
      <c r="H768" s="33">
        <v>0</v>
      </c>
      <c r="I768" s="82">
        <f t="shared" si="633"/>
        <v>10</v>
      </c>
      <c r="J768" s="225">
        <f>4.8*3</f>
        <v>14.399999999999999</v>
      </c>
      <c r="K768" s="35">
        <f t="shared" si="638"/>
        <v>144</v>
      </c>
      <c r="L768" s="36">
        <f t="shared" si="579"/>
        <v>83</v>
      </c>
      <c r="M768" s="37">
        <v>0.15</v>
      </c>
      <c r="N768" s="37">
        <f t="shared" si="635"/>
        <v>1.5</v>
      </c>
      <c r="O768" s="35">
        <f t="shared" si="636"/>
        <v>124.5</v>
      </c>
      <c r="P768" s="38">
        <f t="shared" si="637"/>
        <v>268.5</v>
      </c>
      <c r="Q768" s="2"/>
    </row>
    <row r="769" spans="1:17" x14ac:dyDescent="0.25">
      <c r="A769" s="122" t="str">
        <f>IF(TRIM(G769)&lt;&gt;"",COUNTA(G$7:$G769)&amp;"","")</f>
        <v>625</v>
      </c>
      <c r="B769" s="123"/>
      <c r="C769" s="123"/>
      <c r="D769" s="222"/>
      <c r="E769" s="104" t="s">
        <v>919</v>
      </c>
      <c r="F769" s="224">
        <v>10</v>
      </c>
      <c r="G769" s="125" t="s">
        <v>250</v>
      </c>
      <c r="H769" s="33">
        <v>0</v>
      </c>
      <c r="I769" s="82">
        <f t="shared" si="633"/>
        <v>10</v>
      </c>
      <c r="J769" s="225">
        <v>6.65</v>
      </c>
      <c r="K769" s="35">
        <f t="shared" si="638"/>
        <v>66.5</v>
      </c>
      <c r="L769" s="36">
        <f t="shared" si="579"/>
        <v>83</v>
      </c>
      <c r="M769" s="37">
        <v>7.0000000000000007E-2</v>
      </c>
      <c r="N769" s="37">
        <f t="shared" si="635"/>
        <v>0.70000000000000007</v>
      </c>
      <c r="O769" s="35">
        <f t="shared" si="636"/>
        <v>58.100000000000009</v>
      </c>
      <c r="P769" s="38">
        <f t="shared" si="637"/>
        <v>124.60000000000001</v>
      </c>
      <c r="Q769" s="2"/>
    </row>
    <row r="770" spans="1:17" x14ac:dyDescent="0.25">
      <c r="A770" s="122" t="str">
        <f>IF(TRIM(G770)&lt;&gt;"",COUNTA(G$7:$G770)&amp;"","")</f>
        <v>626</v>
      </c>
      <c r="B770" s="123"/>
      <c r="C770" s="123"/>
      <c r="D770" s="222"/>
      <c r="E770" s="104" t="s">
        <v>920</v>
      </c>
      <c r="F770" s="224">
        <v>10</v>
      </c>
      <c r="G770" s="125" t="s">
        <v>250</v>
      </c>
      <c r="H770" s="33">
        <v>0</v>
      </c>
      <c r="I770" s="82">
        <f t="shared" si="633"/>
        <v>10</v>
      </c>
      <c r="J770" s="225">
        <f>8.4+109.6</f>
        <v>118</v>
      </c>
      <c r="K770" s="35">
        <f t="shared" si="638"/>
        <v>1180</v>
      </c>
      <c r="L770" s="36">
        <f t="shared" si="579"/>
        <v>83</v>
      </c>
      <c r="M770" s="37">
        <f>0.075+0.75</f>
        <v>0.82499999999999996</v>
      </c>
      <c r="N770" s="37">
        <f t="shared" si="635"/>
        <v>8.25</v>
      </c>
      <c r="O770" s="35">
        <f t="shared" si="636"/>
        <v>684.75</v>
      </c>
      <c r="P770" s="38">
        <f t="shared" si="637"/>
        <v>1864.75</v>
      </c>
      <c r="Q770" s="2"/>
    </row>
    <row r="771" spans="1:17" x14ac:dyDescent="0.25">
      <c r="A771" s="122" t="str">
        <f>IF(TRIM(G771)&lt;&gt;"",COUNTA(G$7:$G771)&amp;"","")</f>
        <v>627</v>
      </c>
      <c r="B771" s="123"/>
      <c r="C771" s="123"/>
      <c r="D771" s="222"/>
      <c r="E771" s="104" t="s">
        <v>921</v>
      </c>
      <c r="F771" s="224">
        <v>10</v>
      </c>
      <c r="G771" s="125" t="s">
        <v>250</v>
      </c>
      <c r="H771" s="33">
        <v>0</v>
      </c>
      <c r="I771" s="82">
        <f t="shared" si="633"/>
        <v>10</v>
      </c>
      <c r="J771" s="225">
        <v>32</v>
      </c>
      <c r="K771" s="35">
        <f t="shared" si="638"/>
        <v>320</v>
      </c>
      <c r="L771" s="36">
        <f t="shared" si="579"/>
        <v>83</v>
      </c>
      <c r="M771" s="37">
        <v>1</v>
      </c>
      <c r="N771" s="37">
        <f t="shared" si="635"/>
        <v>10</v>
      </c>
      <c r="O771" s="35">
        <f t="shared" si="636"/>
        <v>830</v>
      </c>
      <c r="P771" s="38">
        <f t="shared" si="637"/>
        <v>1150</v>
      </c>
      <c r="Q771" s="2"/>
    </row>
    <row r="772" spans="1:17" x14ac:dyDescent="0.25">
      <c r="A772" s="122" t="str">
        <f>IF(TRIM(G772)&lt;&gt;"",COUNTA(G$7:$G772)&amp;"","")</f>
        <v>628</v>
      </c>
      <c r="B772" s="123"/>
      <c r="C772" s="123"/>
      <c r="D772" s="222"/>
      <c r="E772" s="104" t="s">
        <v>922</v>
      </c>
      <c r="F772" s="224">
        <v>14</v>
      </c>
      <c r="G772" s="125" t="s">
        <v>250</v>
      </c>
      <c r="H772" s="33">
        <v>0</v>
      </c>
      <c r="I772" s="82">
        <f t="shared" si="633"/>
        <v>14</v>
      </c>
      <c r="J772" s="225">
        <v>22.3</v>
      </c>
      <c r="K772" s="35">
        <f t="shared" si="634"/>
        <v>312.2</v>
      </c>
      <c r="L772" s="36">
        <f t="shared" si="579"/>
        <v>83</v>
      </c>
      <c r="M772" s="37">
        <v>0.06</v>
      </c>
      <c r="N772" s="37">
        <f t="shared" si="635"/>
        <v>0.84</v>
      </c>
      <c r="O772" s="35">
        <f t="shared" si="636"/>
        <v>69.72</v>
      </c>
      <c r="P772" s="38">
        <f t="shared" si="637"/>
        <v>381.91999999999996</v>
      </c>
      <c r="Q772" s="2"/>
    </row>
    <row r="773" spans="1:17" x14ac:dyDescent="0.25">
      <c r="A773" s="122" t="str">
        <f>IF(TRIM(G773)&lt;&gt;"",COUNTA(G$7:$G773)&amp;"","")</f>
        <v>629</v>
      </c>
      <c r="B773" s="123"/>
      <c r="C773" s="123"/>
      <c r="D773" s="222"/>
      <c r="E773" s="104" t="s">
        <v>923</v>
      </c>
      <c r="F773" s="224">
        <v>63.03</v>
      </c>
      <c r="G773" s="125" t="s">
        <v>228</v>
      </c>
      <c r="H773" s="33">
        <v>0</v>
      </c>
      <c r="I773" s="82">
        <f t="shared" si="633"/>
        <v>63.03</v>
      </c>
      <c r="J773" s="225">
        <v>26.98</v>
      </c>
      <c r="K773" s="35">
        <f t="shared" si="634"/>
        <v>1700.5494000000001</v>
      </c>
      <c r="L773" s="36">
        <f t="shared" si="579"/>
        <v>83</v>
      </c>
      <c r="M773" s="37">
        <v>0.13700000000000001</v>
      </c>
      <c r="N773" s="37">
        <f t="shared" si="635"/>
        <v>8.635110000000001</v>
      </c>
      <c r="O773" s="35">
        <f t="shared" si="636"/>
        <v>716.71413000000007</v>
      </c>
      <c r="P773" s="38">
        <f t="shared" si="637"/>
        <v>2417.2635300000002</v>
      </c>
      <c r="Q773" s="2"/>
    </row>
    <row r="774" spans="1:17" x14ac:dyDescent="0.25">
      <c r="A774" s="122" t="str">
        <f>IF(TRIM(G774)&lt;&gt;"",COUNTA(G$7:$G774)&amp;"","")</f>
        <v/>
      </c>
      <c r="B774" s="123"/>
      <c r="C774" s="123"/>
      <c r="D774" s="222"/>
      <c r="E774" s="104"/>
      <c r="F774" s="224"/>
      <c r="G774" s="125"/>
      <c r="H774" s="33"/>
      <c r="I774" s="82" t="str">
        <f t="shared" si="633"/>
        <v/>
      </c>
      <c r="J774" s="225"/>
      <c r="K774" s="35" t="str">
        <f t="shared" si="634"/>
        <v/>
      </c>
      <c r="L774" s="36" t="str">
        <f t="shared" si="579"/>
        <v/>
      </c>
      <c r="M774" s="37"/>
      <c r="N774" s="37" t="str">
        <f t="shared" si="635"/>
        <v/>
      </c>
      <c r="O774" s="35" t="str">
        <f t="shared" si="636"/>
        <v/>
      </c>
      <c r="P774" s="38" t="str">
        <f t="shared" si="637"/>
        <v/>
      </c>
      <c r="Q774" s="2"/>
    </row>
    <row r="775" spans="1:17" x14ac:dyDescent="0.25">
      <c r="A775" s="122" t="str">
        <f>IF(TRIM(G775)&lt;&gt;"",COUNTA(G$7:$G775)&amp;"","")</f>
        <v/>
      </c>
      <c r="B775" s="123"/>
      <c r="C775" s="123"/>
      <c r="D775" s="222"/>
      <c r="E775" s="223" t="s">
        <v>924</v>
      </c>
      <c r="F775" s="224"/>
      <c r="G775" s="125"/>
      <c r="H775" s="33"/>
      <c r="I775" s="82" t="str">
        <f t="shared" si="576"/>
        <v/>
      </c>
      <c r="J775" s="225"/>
      <c r="K775" s="35" t="str">
        <f t="shared" si="578"/>
        <v/>
      </c>
      <c r="L775" s="36" t="str">
        <f t="shared" si="579"/>
        <v/>
      </c>
      <c r="M775" s="37"/>
      <c r="N775" s="37" t="str">
        <f t="shared" si="581"/>
        <v/>
      </c>
      <c r="O775" s="35" t="str">
        <f t="shared" si="582"/>
        <v/>
      </c>
      <c r="P775" s="38" t="str">
        <f t="shared" si="583"/>
        <v/>
      </c>
      <c r="Q775" s="2"/>
    </row>
    <row r="776" spans="1:17" x14ac:dyDescent="0.25">
      <c r="A776" s="122" t="str">
        <f>IF(TRIM(G776)&lt;&gt;"",COUNTA(G$7:$G776)&amp;"","")</f>
        <v/>
      </c>
      <c r="B776" s="123"/>
      <c r="C776" s="123"/>
      <c r="D776" s="222"/>
      <c r="E776" s="226" t="s">
        <v>925</v>
      </c>
      <c r="F776" s="224"/>
      <c r="G776" s="125"/>
      <c r="H776" s="33"/>
      <c r="I776" s="82" t="str">
        <f t="shared" si="576"/>
        <v/>
      </c>
      <c r="J776" s="225"/>
      <c r="K776" s="35" t="str">
        <f t="shared" si="578"/>
        <v/>
      </c>
      <c r="L776" s="36" t="str">
        <f t="shared" si="579"/>
        <v/>
      </c>
      <c r="M776" s="37"/>
      <c r="N776" s="37" t="str">
        <f t="shared" si="581"/>
        <v/>
      </c>
      <c r="O776" s="35" t="str">
        <f t="shared" si="582"/>
        <v/>
      </c>
      <c r="P776" s="38" t="str">
        <f t="shared" si="583"/>
        <v/>
      </c>
      <c r="Q776" s="2"/>
    </row>
    <row r="777" spans="1:17" x14ac:dyDescent="0.25">
      <c r="A777" s="122" t="str">
        <f>IF(TRIM(G777)&lt;&gt;"",COUNTA(G$7:$G777)&amp;"","")</f>
        <v>630</v>
      </c>
      <c r="B777" s="123"/>
      <c r="C777" s="123"/>
      <c r="D777" s="222"/>
      <c r="E777" s="104" t="s">
        <v>926</v>
      </c>
      <c r="F777" s="224">
        <v>40.03</v>
      </c>
      <c r="G777" s="125" t="s">
        <v>228</v>
      </c>
      <c r="H777" s="33">
        <v>0.1</v>
      </c>
      <c r="I777" s="82">
        <f>IF(F777=0,"",F777+(F777*H777))</f>
        <v>44.033000000000001</v>
      </c>
      <c r="J777" s="225">
        <v>4.78</v>
      </c>
      <c r="K777" s="35">
        <f>IF(F777=0,"",J777*I777)</f>
        <v>210.47774000000001</v>
      </c>
      <c r="L777" s="36">
        <f t="shared" si="579"/>
        <v>83</v>
      </c>
      <c r="M777" s="37">
        <v>0.14799999999999999</v>
      </c>
      <c r="N777" s="37">
        <f>IF(F777=0,"",M777*I777)</f>
        <v>6.5168840000000001</v>
      </c>
      <c r="O777" s="35">
        <f>IF(F777=0,"",N777*L777)</f>
        <v>540.90137200000004</v>
      </c>
      <c r="P777" s="38">
        <f>IF(F777=0,"",K777+O777)</f>
        <v>751.37911200000008</v>
      </c>
      <c r="Q777" s="2"/>
    </row>
    <row r="778" spans="1:17" x14ac:dyDescent="0.25">
      <c r="A778" s="122" t="str">
        <f>IF(TRIM(G778)&lt;&gt;"",COUNTA(G$7:$G778)&amp;"","")</f>
        <v>631</v>
      </c>
      <c r="B778" s="123"/>
      <c r="C778" s="123"/>
      <c r="D778" s="222"/>
      <c r="E778" s="104" t="s">
        <v>927</v>
      </c>
      <c r="F778" s="224">
        <v>108.06</v>
      </c>
      <c r="G778" s="125" t="s">
        <v>228</v>
      </c>
      <c r="H778" s="33">
        <v>0.1</v>
      </c>
      <c r="I778" s="82">
        <f t="shared" ref="I778:I779" si="639">IF(F778=0,"",F778+(F778*H778))</f>
        <v>118.866</v>
      </c>
      <c r="J778" s="225">
        <v>4.96</v>
      </c>
      <c r="K778" s="35">
        <f t="shared" ref="K778:K779" si="640">IF(F778=0,"",J778*I778)</f>
        <v>589.57536000000005</v>
      </c>
      <c r="L778" s="36">
        <f t="shared" si="579"/>
        <v>83</v>
      </c>
      <c r="M778" s="37">
        <v>0.157</v>
      </c>
      <c r="N778" s="37">
        <f t="shared" ref="N778:N779" si="641">IF(F778=0,"",M778*I778)</f>
        <v>18.661961999999999</v>
      </c>
      <c r="O778" s="35">
        <f t="shared" ref="O778:O779" si="642">IF(F778=0,"",N778*L778)</f>
        <v>1548.9428459999999</v>
      </c>
      <c r="P778" s="38">
        <f t="shared" ref="P778:P779" si="643">IF(F778=0,"",K778+O778)</f>
        <v>2138.5182059999997</v>
      </c>
      <c r="Q778" s="2"/>
    </row>
    <row r="779" spans="1:17" x14ac:dyDescent="0.25">
      <c r="A779" s="122" t="str">
        <f>IF(TRIM(G779)&lt;&gt;"",COUNTA(G$7:$G779)&amp;"","")</f>
        <v>632</v>
      </c>
      <c r="B779" s="123"/>
      <c r="C779" s="123"/>
      <c r="D779" s="222"/>
      <c r="E779" s="104" t="s">
        <v>928</v>
      </c>
      <c r="F779" s="224">
        <v>40.1</v>
      </c>
      <c r="G779" s="125" t="s">
        <v>228</v>
      </c>
      <c r="H779" s="33">
        <v>0.1</v>
      </c>
      <c r="I779" s="82">
        <f t="shared" si="639"/>
        <v>44.11</v>
      </c>
      <c r="J779" s="225">
        <v>5.28</v>
      </c>
      <c r="K779" s="35">
        <f t="shared" si="640"/>
        <v>232.9008</v>
      </c>
      <c r="L779" s="36">
        <f t="shared" si="579"/>
        <v>83</v>
      </c>
      <c r="M779" s="37">
        <v>0.17399999999999999</v>
      </c>
      <c r="N779" s="37">
        <f t="shared" si="641"/>
        <v>7.675139999999999</v>
      </c>
      <c r="O779" s="35">
        <f t="shared" si="642"/>
        <v>637.03661999999986</v>
      </c>
      <c r="P779" s="38">
        <f t="shared" si="643"/>
        <v>869.93741999999986</v>
      </c>
      <c r="Q779" s="2"/>
    </row>
    <row r="780" spans="1:17" x14ac:dyDescent="0.25">
      <c r="A780" s="122" t="str">
        <f>IF(TRIM(G780)&lt;&gt;"",COUNTA(G$7:$G780)&amp;"","")</f>
        <v>633</v>
      </c>
      <c r="B780" s="123"/>
      <c r="C780" s="123"/>
      <c r="D780" s="222"/>
      <c r="E780" s="104" t="s">
        <v>929</v>
      </c>
      <c r="F780" s="224">
        <v>102.52</v>
      </c>
      <c r="G780" s="125" t="s">
        <v>228</v>
      </c>
      <c r="H780" s="33">
        <v>0.1</v>
      </c>
      <c r="I780" s="82">
        <f>IF(F780=0,"",F780+(F780*H780))</f>
        <v>112.77199999999999</v>
      </c>
      <c r="J780" s="225">
        <v>7.23</v>
      </c>
      <c r="K780" s="35">
        <f>IF(F780=0,"",J780*I780)</f>
        <v>815.34155999999996</v>
      </c>
      <c r="L780" s="36">
        <f t="shared" si="579"/>
        <v>83</v>
      </c>
      <c r="M780" s="37">
        <v>0.19</v>
      </c>
      <c r="N780" s="37">
        <f>IF(F780=0,"",M780*I780)</f>
        <v>21.426679999999998</v>
      </c>
      <c r="O780" s="35">
        <f>IF(F780=0,"",N780*L780)</f>
        <v>1778.4144399999998</v>
      </c>
      <c r="P780" s="38">
        <f>IF(F780=0,"",K780+O780)</f>
        <v>2593.7559999999999</v>
      </c>
      <c r="Q780" s="2"/>
    </row>
    <row r="781" spans="1:17" x14ac:dyDescent="0.25">
      <c r="A781" s="122" t="str">
        <f>IF(TRIM(G781)&lt;&gt;"",COUNTA(G$7:$G781)&amp;"","")</f>
        <v>634</v>
      </c>
      <c r="B781" s="123"/>
      <c r="C781" s="123"/>
      <c r="D781" s="222"/>
      <c r="E781" s="104" t="s">
        <v>930</v>
      </c>
      <c r="F781" s="224">
        <v>10.18</v>
      </c>
      <c r="G781" s="125" t="s">
        <v>228</v>
      </c>
      <c r="H781" s="33">
        <v>0.1</v>
      </c>
      <c r="I781" s="82">
        <f>IF(F781=0,"",F781+(F781*H781))</f>
        <v>11.198</v>
      </c>
      <c r="J781" s="225">
        <v>7.54</v>
      </c>
      <c r="K781" s="35">
        <f>IF(F781=0,"",J781*I781)</f>
        <v>84.43292000000001</v>
      </c>
      <c r="L781" s="36">
        <f t="shared" si="579"/>
        <v>83</v>
      </c>
      <c r="M781" s="37">
        <v>0.222</v>
      </c>
      <c r="N781" s="37">
        <f>IF(F781=0,"",M781*I781)</f>
        <v>2.4859560000000003</v>
      </c>
      <c r="O781" s="35">
        <f>IF(F781=0,"",N781*L781)</f>
        <v>206.33434800000003</v>
      </c>
      <c r="P781" s="38">
        <f>IF(F781=0,"",K781+O781)</f>
        <v>290.76726800000006</v>
      </c>
      <c r="Q781" s="2"/>
    </row>
    <row r="782" spans="1:17" x14ac:dyDescent="0.25">
      <c r="A782" s="122" t="str">
        <f>IF(TRIM(G782)&lt;&gt;"",COUNTA(G$7:$G782)&amp;"","")</f>
        <v>635</v>
      </c>
      <c r="B782" s="123"/>
      <c r="C782" s="123"/>
      <c r="D782" s="222"/>
      <c r="E782" s="104" t="s">
        <v>931</v>
      </c>
      <c r="F782" s="224">
        <v>101.22</v>
      </c>
      <c r="G782" s="125" t="s">
        <v>228</v>
      </c>
      <c r="H782" s="33">
        <v>0.1</v>
      </c>
      <c r="I782" s="82">
        <f t="shared" ref="I782:I806" si="644">IF(F782=0,"",F782+(F782*H782))</f>
        <v>111.342</v>
      </c>
      <c r="J782" s="225">
        <v>8.41</v>
      </c>
      <c r="K782" s="35">
        <f t="shared" ref="K782:K806" si="645">IF(F782=0,"",J782*I782)</f>
        <v>936.38621999999998</v>
      </c>
      <c r="L782" s="36">
        <f t="shared" si="579"/>
        <v>83</v>
      </c>
      <c r="M782" s="37">
        <v>0.27100000000000002</v>
      </c>
      <c r="N782" s="37">
        <f t="shared" ref="N782:N806" si="646">IF(F782=0,"",M782*I782)</f>
        <v>30.173682000000003</v>
      </c>
      <c r="O782" s="35">
        <f t="shared" ref="O782:O806" si="647">IF(F782=0,"",N782*L782)</f>
        <v>2504.415606</v>
      </c>
      <c r="P782" s="38">
        <f t="shared" ref="P782:P806" si="648">IF(F782=0,"",K782+O782)</f>
        <v>3440.8018259999999</v>
      </c>
      <c r="Q782" s="2"/>
    </row>
    <row r="783" spans="1:17" x14ac:dyDescent="0.25">
      <c r="A783" s="122" t="str">
        <f>IF(TRIM(G783)&lt;&gt;"",COUNTA(G$7:$G783)&amp;"","")</f>
        <v>636</v>
      </c>
      <c r="B783" s="123"/>
      <c r="C783" s="123"/>
      <c r="D783" s="222"/>
      <c r="E783" s="104" t="s">
        <v>932</v>
      </c>
      <c r="F783" s="224">
        <v>156.29</v>
      </c>
      <c r="G783" s="125" t="s">
        <v>228</v>
      </c>
      <c r="H783" s="33">
        <v>0.1</v>
      </c>
      <c r="I783" s="82">
        <f t="shared" si="644"/>
        <v>171.91899999999998</v>
      </c>
      <c r="J783" s="225">
        <v>14.93</v>
      </c>
      <c r="K783" s="35">
        <f t="shared" si="645"/>
        <v>2566.7506699999999</v>
      </c>
      <c r="L783" s="36">
        <f t="shared" si="579"/>
        <v>83</v>
      </c>
      <c r="M783" s="37">
        <v>0.30199999999999999</v>
      </c>
      <c r="N783" s="37">
        <f t="shared" si="646"/>
        <v>51.919537999999996</v>
      </c>
      <c r="O783" s="35">
        <f t="shared" si="647"/>
        <v>4309.3216539999994</v>
      </c>
      <c r="P783" s="38">
        <f t="shared" si="648"/>
        <v>6876.0723239999988</v>
      </c>
      <c r="Q783" s="2"/>
    </row>
    <row r="784" spans="1:17" x14ac:dyDescent="0.25">
      <c r="A784" s="122" t="str">
        <f>IF(TRIM(G784)&lt;&gt;"",COUNTA(G$7:$G784)&amp;"","")</f>
        <v>637</v>
      </c>
      <c r="B784" s="123"/>
      <c r="C784" s="123"/>
      <c r="D784" s="222"/>
      <c r="E784" s="104" t="s">
        <v>933</v>
      </c>
      <c r="F784" s="224">
        <v>104</v>
      </c>
      <c r="G784" s="125" t="s">
        <v>228</v>
      </c>
      <c r="H784" s="33">
        <v>0.1</v>
      </c>
      <c r="I784" s="82">
        <f t="shared" si="644"/>
        <v>114.4</v>
      </c>
      <c r="J784" s="225">
        <v>17.36</v>
      </c>
      <c r="K784" s="35">
        <f t="shared" si="645"/>
        <v>1985.9839999999999</v>
      </c>
      <c r="L784" s="36">
        <f t="shared" si="579"/>
        <v>83</v>
      </c>
      <c r="M784" s="37">
        <v>0.30199999999999999</v>
      </c>
      <c r="N784" s="37">
        <f t="shared" si="646"/>
        <v>34.5488</v>
      </c>
      <c r="O784" s="35">
        <f t="shared" si="647"/>
        <v>2867.5504000000001</v>
      </c>
      <c r="P784" s="38">
        <f t="shared" si="648"/>
        <v>4853.5344000000005</v>
      </c>
      <c r="Q784" s="2"/>
    </row>
    <row r="785" spans="1:17" x14ac:dyDescent="0.25">
      <c r="A785" s="122" t="str">
        <f>IF(TRIM(G785)&lt;&gt;"",COUNTA(G$7:$G785)&amp;"","")</f>
        <v/>
      </c>
      <c r="B785" s="123"/>
      <c r="C785" s="123"/>
      <c r="D785" s="222"/>
      <c r="E785" s="104"/>
      <c r="F785" s="224"/>
      <c r="G785" s="125"/>
      <c r="H785" s="33"/>
      <c r="I785" s="82" t="str">
        <f t="shared" si="644"/>
        <v/>
      </c>
      <c r="J785" s="225"/>
      <c r="K785" s="35" t="str">
        <f t="shared" si="645"/>
        <v/>
      </c>
      <c r="L785" s="36" t="str">
        <f t="shared" si="579"/>
        <v/>
      </c>
      <c r="M785" s="37"/>
      <c r="N785" s="37" t="str">
        <f t="shared" si="646"/>
        <v/>
      </c>
      <c r="O785" s="35" t="str">
        <f t="shared" si="647"/>
        <v/>
      </c>
      <c r="P785" s="38" t="str">
        <f t="shared" si="648"/>
        <v/>
      </c>
      <c r="Q785" s="2"/>
    </row>
    <row r="786" spans="1:17" x14ac:dyDescent="0.25">
      <c r="A786" s="122" t="str">
        <f>IF(TRIM(G786)&lt;&gt;"",COUNTA(G$7:$G786)&amp;"","")</f>
        <v/>
      </c>
      <c r="B786" s="123"/>
      <c r="C786" s="123"/>
      <c r="D786" s="222"/>
      <c r="E786" s="226" t="s">
        <v>866</v>
      </c>
      <c r="F786" s="224"/>
      <c r="G786" s="125"/>
      <c r="H786" s="33"/>
      <c r="I786" s="82" t="str">
        <f t="shared" si="644"/>
        <v/>
      </c>
      <c r="J786" s="225"/>
      <c r="K786" s="35" t="str">
        <f t="shared" si="645"/>
        <v/>
      </c>
      <c r="L786" s="36" t="str">
        <f t="shared" si="579"/>
        <v/>
      </c>
      <c r="M786" s="37"/>
      <c r="N786" s="37" t="str">
        <f t="shared" si="646"/>
        <v/>
      </c>
      <c r="O786" s="35" t="str">
        <f t="shared" si="647"/>
        <v/>
      </c>
      <c r="P786" s="38" t="str">
        <f t="shared" si="648"/>
        <v/>
      </c>
      <c r="Q786" s="2"/>
    </row>
    <row r="787" spans="1:17" x14ac:dyDescent="0.25">
      <c r="A787" s="122" t="str">
        <f>IF(TRIM(G787)&lt;&gt;"",COUNTA(G$7:$G787)&amp;"","")</f>
        <v>638</v>
      </c>
      <c r="B787" s="123"/>
      <c r="C787" s="123"/>
      <c r="D787" s="222"/>
      <c r="E787" s="220" t="s">
        <v>934</v>
      </c>
      <c r="F787" s="224">
        <v>3</v>
      </c>
      <c r="G787" s="125" t="s">
        <v>250</v>
      </c>
      <c r="H787" s="33">
        <v>0</v>
      </c>
      <c r="I787" s="82">
        <f t="shared" si="644"/>
        <v>3</v>
      </c>
      <c r="J787" s="225">
        <v>0.5</v>
      </c>
      <c r="K787" s="35">
        <f t="shared" si="645"/>
        <v>1.5</v>
      </c>
      <c r="L787" s="36">
        <f t="shared" si="579"/>
        <v>83</v>
      </c>
      <c r="M787" s="37">
        <v>0.28000000000000003</v>
      </c>
      <c r="N787" s="37">
        <f t="shared" si="646"/>
        <v>0.84000000000000008</v>
      </c>
      <c r="O787" s="35">
        <f t="shared" si="647"/>
        <v>69.720000000000013</v>
      </c>
      <c r="P787" s="38">
        <f t="shared" si="648"/>
        <v>71.220000000000013</v>
      </c>
      <c r="Q787" s="2"/>
    </row>
    <row r="788" spans="1:17" x14ac:dyDescent="0.25">
      <c r="A788" s="122" t="str">
        <f>IF(TRIM(G788)&lt;&gt;"",COUNTA(G$7:$G788)&amp;"","")</f>
        <v>639</v>
      </c>
      <c r="B788" s="123"/>
      <c r="C788" s="123"/>
      <c r="D788" s="222"/>
      <c r="E788" s="220" t="s">
        <v>816</v>
      </c>
      <c r="F788" s="224">
        <v>1</v>
      </c>
      <c r="G788" s="125" t="s">
        <v>250</v>
      </c>
      <c r="H788" s="33">
        <v>0</v>
      </c>
      <c r="I788" s="82">
        <f t="shared" si="644"/>
        <v>1</v>
      </c>
      <c r="J788" s="225">
        <v>0.9</v>
      </c>
      <c r="K788" s="35">
        <f t="shared" si="645"/>
        <v>0.9</v>
      </c>
      <c r="L788" s="36">
        <f t="shared" si="579"/>
        <v>83</v>
      </c>
      <c r="M788" s="37">
        <v>0.32</v>
      </c>
      <c r="N788" s="37">
        <f t="shared" si="646"/>
        <v>0.32</v>
      </c>
      <c r="O788" s="35">
        <f t="shared" si="647"/>
        <v>26.560000000000002</v>
      </c>
      <c r="P788" s="38">
        <f t="shared" si="648"/>
        <v>27.46</v>
      </c>
      <c r="Q788" s="2"/>
    </row>
    <row r="789" spans="1:17" x14ac:dyDescent="0.25">
      <c r="A789" s="122" t="str">
        <f>IF(TRIM(G789)&lt;&gt;"",COUNTA(G$7:$G789)&amp;"","")</f>
        <v>640</v>
      </c>
      <c r="B789" s="123"/>
      <c r="C789" s="123"/>
      <c r="D789" s="222"/>
      <c r="E789" s="220" t="s">
        <v>817</v>
      </c>
      <c r="F789" s="224">
        <v>3</v>
      </c>
      <c r="G789" s="125" t="s">
        <v>250</v>
      </c>
      <c r="H789" s="33">
        <v>0</v>
      </c>
      <c r="I789" s="82">
        <f t="shared" si="644"/>
        <v>3</v>
      </c>
      <c r="J789" s="225">
        <v>1.6</v>
      </c>
      <c r="K789" s="35">
        <f t="shared" si="645"/>
        <v>4.8000000000000007</v>
      </c>
      <c r="L789" s="36">
        <f t="shared" si="579"/>
        <v>83</v>
      </c>
      <c r="M789" s="37">
        <v>0.36</v>
      </c>
      <c r="N789" s="37">
        <f t="shared" si="646"/>
        <v>1.08</v>
      </c>
      <c r="O789" s="35">
        <f t="shared" si="647"/>
        <v>89.64</v>
      </c>
      <c r="P789" s="38">
        <f t="shared" si="648"/>
        <v>94.44</v>
      </c>
      <c r="Q789" s="2"/>
    </row>
    <row r="790" spans="1:17" x14ac:dyDescent="0.25">
      <c r="A790" s="122" t="str">
        <f>IF(TRIM(G790)&lt;&gt;"",COUNTA(G$7:$G790)&amp;"","")</f>
        <v>641</v>
      </c>
      <c r="B790" s="123"/>
      <c r="C790" s="123"/>
      <c r="D790" s="222"/>
      <c r="E790" s="220" t="s">
        <v>872</v>
      </c>
      <c r="F790" s="224">
        <v>1</v>
      </c>
      <c r="G790" s="125" t="s">
        <v>250</v>
      </c>
      <c r="H790" s="33">
        <v>0</v>
      </c>
      <c r="I790" s="82">
        <f t="shared" si="644"/>
        <v>1</v>
      </c>
      <c r="J790" s="225">
        <v>2.57</v>
      </c>
      <c r="K790" s="35">
        <f t="shared" si="645"/>
        <v>2.57</v>
      </c>
      <c r="L790" s="36">
        <f t="shared" si="579"/>
        <v>83</v>
      </c>
      <c r="M790" s="37">
        <v>0.44400000000000001</v>
      </c>
      <c r="N790" s="37">
        <f t="shared" si="646"/>
        <v>0.44400000000000001</v>
      </c>
      <c r="O790" s="35">
        <f t="shared" si="647"/>
        <v>36.852000000000004</v>
      </c>
      <c r="P790" s="38">
        <f t="shared" si="648"/>
        <v>39.422000000000004</v>
      </c>
      <c r="Q790" s="2"/>
    </row>
    <row r="791" spans="1:17" x14ac:dyDescent="0.25">
      <c r="A791" s="122" t="str">
        <f>IF(TRIM(G791)&lt;&gt;"",COUNTA(G$7:$G791)&amp;"","")</f>
        <v>642</v>
      </c>
      <c r="B791" s="123"/>
      <c r="C791" s="123"/>
      <c r="D791" s="222"/>
      <c r="E791" s="220" t="s">
        <v>935</v>
      </c>
      <c r="F791" s="224">
        <v>3</v>
      </c>
      <c r="G791" s="125" t="s">
        <v>250</v>
      </c>
      <c r="H791" s="33">
        <v>0</v>
      </c>
      <c r="I791" s="82">
        <f t="shared" si="644"/>
        <v>3</v>
      </c>
      <c r="J791" s="225">
        <v>8.7799999999999994</v>
      </c>
      <c r="K791" s="35">
        <f t="shared" si="645"/>
        <v>26.339999999999996</v>
      </c>
      <c r="L791" s="36">
        <f t="shared" si="579"/>
        <v>83</v>
      </c>
      <c r="M791" s="37">
        <v>0.69899999999999995</v>
      </c>
      <c r="N791" s="37">
        <f t="shared" si="646"/>
        <v>2.097</v>
      </c>
      <c r="O791" s="35">
        <f t="shared" si="647"/>
        <v>174.05099999999999</v>
      </c>
      <c r="P791" s="38">
        <f t="shared" si="648"/>
        <v>200.39099999999999</v>
      </c>
      <c r="Q791" s="2"/>
    </row>
    <row r="792" spans="1:17" x14ac:dyDescent="0.25">
      <c r="A792" s="122" t="str">
        <f>IF(TRIM(G792)&lt;&gt;"",COUNTA(G$7:$G792)&amp;"","")</f>
        <v>643</v>
      </c>
      <c r="B792" s="123"/>
      <c r="C792" s="123"/>
      <c r="D792" s="222"/>
      <c r="E792" s="220" t="s">
        <v>936</v>
      </c>
      <c r="F792" s="224">
        <v>2</v>
      </c>
      <c r="G792" s="125" t="s">
        <v>250</v>
      </c>
      <c r="H792" s="33">
        <v>0</v>
      </c>
      <c r="I792" s="82">
        <f t="shared" si="644"/>
        <v>2</v>
      </c>
      <c r="J792" s="225">
        <v>12.24</v>
      </c>
      <c r="K792" s="35">
        <f t="shared" si="645"/>
        <v>24.48</v>
      </c>
      <c r="L792" s="36">
        <f t="shared" si="579"/>
        <v>83</v>
      </c>
      <c r="M792" s="37">
        <v>0.69899999999999995</v>
      </c>
      <c r="N792" s="37">
        <f t="shared" si="646"/>
        <v>1.3979999999999999</v>
      </c>
      <c r="O792" s="35">
        <f t="shared" si="647"/>
        <v>116.03399999999999</v>
      </c>
      <c r="P792" s="38">
        <f t="shared" si="648"/>
        <v>140.51399999999998</v>
      </c>
      <c r="Q792" s="2"/>
    </row>
    <row r="793" spans="1:17" x14ac:dyDescent="0.25">
      <c r="A793" s="122" t="str">
        <f>IF(TRIM(G793)&lt;&gt;"",COUNTA(G$7:$G793)&amp;"","")</f>
        <v>644</v>
      </c>
      <c r="B793" s="123"/>
      <c r="C793" s="123"/>
      <c r="D793" s="222"/>
      <c r="E793" s="220" t="s">
        <v>937</v>
      </c>
      <c r="F793" s="224">
        <v>1</v>
      </c>
      <c r="G793" s="125" t="s">
        <v>250</v>
      </c>
      <c r="H793" s="33">
        <v>0</v>
      </c>
      <c r="I793" s="82">
        <f>IF(F793=0,"",F793+(F793*H793))</f>
        <v>1</v>
      </c>
      <c r="J793" s="225">
        <v>1.022</v>
      </c>
      <c r="K793" s="35">
        <f>IF(F793=0,"",J793*I793)</f>
        <v>1.022</v>
      </c>
      <c r="L793" s="36">
        <f t="shared" si="579"/>
        <v>83</v>
      </c>
      <c r="M793" s="37">
        <v>0.32</v>
      </c>
      <c r="N793" s="37">
        <f>IF(F793=0,"",M793*I793)</f>
        <v>0.32</v>
      </c>
      <c r="O793" s="35">
        <f>IF(F793=0,"",N793*L793)</f>
        <v>26.560000000000002</v>
      </c>
      <c r="P793" s="38">
        <f>IF(F793=0,"",K793+O793)</f>
        <v>27.582000000000001</v>
      </c>
      <c r="Q793" s="2"/>
    </row>
    <row r="794" spans="1:17" x14ac:dyDescent="0.25">
      <c r="A794" s="122" t="str">
        <f>IF(TRIM(G794)&lt;&gt;"",COUNTA(G$7:$G794)&amp;"","")</f>
        <v>645</v>
      </c>
      <c r="B794" s="123"/>
      <c r="C794" s="123"/>
      <c r="D794" s="222"/>
      <c r="E794" s="220" t="s">
        <v>938</v>
      </c>
      <c r="F794" s="224">
        <v>1</v>
      </c>
      <c r="G794" s="125" t="s">
        <v>250</v>
      </c>
      <c r="H794" s="33">
        <v>0</v>
      </c>
      <c r="I794" s="82">
        <f t="shared" si="644"/>
        <v>1</v>
      </c>
      <c r="J794" s="225">
        <v>1.0900000000000001</v>
      </c>
      <c r="K794" s="35">
        <f t="shared" si="645"/>
        <v>1.0900000000000001</v>
      </c>
      <c r="L794" s="36">
        <f t="shared" si="579"/>
        <v>83</v>
      </c>
      <c r="M794" s="37">
        <v>0.36399999999999999</v>
      </c>
      <c r="N794" s="37">
        <f t="shared" si="646"/>
        <v>0.36399999999999999</v>
      </c>
      <c r="O794" s="35">
        <f t="shared" si="647"/>
        <v>30.212</v>
      </c>
      <c r="P794" s="38">
        <f t="shared" si="648"/>
        <v>31.302</v>
      </c>
      <c r="Q794" s="2"/>
    </row>
    <row r="795" spans="1:17" x14ac:dyDescent="0.25">
      <c r="A795" s="122" t="str">
        <f>IF(TRIM(G795)&lt;&gt;"",COUNTA(G$7:$G795)&amp;"","")</f>
        <v>646</v>
      </c>
      <c r="B795" s="123"/>
      <c r="C795" s="123"/>
      <c r="D795" s="222"/>
      <c r="E795" s="220" t="s">
        <v>939</v>
      </c>
      <c r="F795" s="224">
        <v>1</v>
      </c>
      <c r="G795" s="125" t="s">
        <v>250</v>
      </c>
      <c r="H795" s="33">
        <v>0</v>
      </c>
      <c r="I795" s="82">
        <f>IF(F795=0,"",F795+(F795*H795))</f>
        <v>1</v>
      </c>
      <c r="J795" s="225">
        <v>1.78</v>
      </c>
      <c r="K795" s="35">
        <f>IF(F795=0,"",J795*I795)</f>
        <v>1.78</v>
      </c>
      <c r="L795" s="36">
        <f t="shared" si="579"/>
        <v>83</v>
      </c>
      <c r="M795" s="37">
        <v>0.4</v>
      </c>
      <c r="N795" s="37">
        <f>IF(F795=0,"",M795*I795)</f>
        <v>0.4</v>
      </c>
      <c r="O795" s="35">
        <f>IF(F795=0,"",N795*L795)</f>
        <v>33.200000000000003</v>
      </c>
      <c r="P795" s="38">
        <f>IF(F795=0,"",K795+O795)</f>
        <v>34.980000000000004</v>
      </c>
      <c r="Q795" s="2"/>
    </row>
    <row r="796" spans="1:17" x14ac:dyDescent="0.25">
      <c r="A796" s="122" t="str">
        <f>IF(TRIM(G796)&lt;&gt;"",COUNTA(G$7:$G796)&amp;"","")</f>
        <v>647</v>
      </c>
      <c r="B796" s="123"/>
      <c r="C796" s="123"/>
      <c r="D796" s="222"/>
      <c r="E796" s="220" t="s">
        <v>824</v>
      </c>
      <c r="F796" s="224">
        <v>1</v>
      </c>
      <c r="G796" s="125" t="s">
        <v>250</v>
      </c>
      <c r="H796" s="33">
        <v>0</v>
      </c>
      <c r="I796" s="82">
        <f t="shared" si="644"/>
        <v>1</v>
      </c>
      <c r="J796" s="225">
        <v>1.89</v>
      </c>
      <c r="K796" s="35">
        <f t="shared" si="645"/>
        <v>1.89</v>
      </c>
      <c r="L796" s="36">
        <f t="shared" si="579"/>
        <v>83</v>
      </c>
      <c r="M796" s="37">
        <v>0.42199999999999999</v>
      </c>
      <c r="N796" s="37">
        <f t="shared" si="646"/>
        <v>0.42199999999999999</v>
      </c>
      <c r="O796" s="35">
        <f t="shared" si="647"/>
        <v>35.025999999999996</v>
      </c>
      <c r="P796" s="38">
        <f t="shared" si="648"/>
        <v>36.915999999999997</v>
      </c>
      <c r="Q796" s="2"/>
    </row>
    <row r="797" spans="1:17" x14ac:dyDescent="0.25">
      <c r="A797" s="122" t="str">
        <f>IF(TRIM(G797)&lt;&gt;"",COUNTA(G$7:$G797)&amp;"","")</f>
        <v>648</v>
      </c>
      <c r="B797" s="123"/>
      <c r="C797" s="123"/>
      <c r="D797" s="222"/>
      <c r="E797" s="220" t="s">
        <v>834</v>
      </c>
      <c r="F797" s="224">
        <v>3</v>
      </c>
      <c r="G797" s="125" t="s">
        <v>250</v>
      </c>
      <c r="H797" s="33">
        <v>0</v>
      </c>
      <c r="I797" s="82">
        <f>IF(F797=0,"",F797+(F797*H797))</f>
        <v>3</v>
      </c>
      <c r="J797" s="225">
        <v>1.88</v>
      </c>
      <c r="K797" s="35">
        <f>IF(F797=0,"",J797*I797)</f>
        <v>5.64</v>
      </c>
      <c r="L797" s="36">
        <f t="shared" si="579"/>
        <v>83</v>
      </c>
      <c r="M797" s="37">
        <v>0.54100000000000004</v>
      </c>
      <c r="N797" s="37">
        <f>IF(F797=0,"",M797*I797)</f>
        <v>1.6230000000000002</v>
      </c>
      <c r="O797" s="35">
        <f>IF(F797=0,"",N797*L797)</f>
        <v>134.70900000000003</v>
      </c>
      <c r="P797" s="38">
        <f>IF(F797=0,"",K797+O797)</f>
        <v>140.34900000000002</v>
      </c>
      <c r="Q797" s="2"/>
    </row>
    <row r="798" spans="1:17" x14ac:dyDescent="0.25">
      <c r="A798" s="122" t="str">
        <f>IF(TRIM(G798)&lt;&gt;"",COUNTA(G$7:$G798)&amp;"","")</f>
        <v>649</v>
      </c>
      <c r="B798" s="123"/>
      <c r="C798" s="123"/>
      <c r="D798" s="222"/>
      <c r="E798" s="220" t="s">
        <v>940</v>
      </c>
      <c r="F798" s="224">
        <v>1</v>
      </c>
      <c r="G798" s="125" t="s">
        <v>250</v>
      </c>
      <c r="H798" s="33">
        <v>0</v>
      </c>
      <c r="I798" s="82">
        <f t="shared" si="644"/>
        <v>1</v>
      </c>
      <c r="J798" s="225">
        <v>2.2200000000000002</v>
      </c>
      <c r="K798" s="35">
        <f t="shared" si="645"/>
        <v>2.2200000000000002</v>
      </c>
      <c r="L798" s="36">
        <f t="shared" si="579"/>
        <v>83</v>
      </c>
      <c r="M798" s="37">
        <v>0.60199999999999998</v>
      </c>
      <c r="N798" s="37">
        <f t="shared" si="646"/>
        <v>0.60199999999999998</v>
      </c>
      <c r="O798" s="35">
        <f t="shared" si="647"/>
        <v>49.966000000000001</v>
      </c>
      <c r="P798" s="38">
        <f t="shared" si="648"/>
        <v>52.186</v>
      </c>
      <c r="Q798" s="2"/>
    </row>
    <row r="799" spans="1:17" x14ac:dyDescent="0.25">
      <c r="A799" s="122" t="str">
        <f>IF(TRIM(G799)&lt;&gt;"",COUNTA(G$7:$G799)&amp;"","")</f>
        <v>650</v>
      </c>
      <c r="B799" s="123"/>
      <c r="C799" s="123"/>
      <c r="D799" s="222"/>
      <c r="E799" s="220" t="s">
        <v>941</v>
      </c>
      <c r="F799" s="224">
        <v>1</v>
      </c>
      <c r="G799" s="125" t="s">
        <v>250</v>
      </c>
      <c r="H799" s="33">
        <v>0</v>
      </c>
      <c r="I799" s="82">
        <f t="shared" si="644"/>
        <v>1</v>
      </c>
      <c r="J799" s="225">
        <v>3.23</v>
      </c>
      <c r="K799" s="35">
        <f t="shared" si="645"/>
        <v>3.23</v>
      </c>
      <c r="L799" s="36">
        <f t="shared" si="579"/>
        <v>83</v>
      </c>
      <c r="M799" s="37">
        <v>0.66100000000000003</v>
      </c>
      <c r="N799" s="37">
        <f t="shared" si="646"/>
        <v>0.66100000000000003</v>
      </c>
      <c r="O799" s="35">
        <f t="shared" si="647"/>
        <v>54.863</v>
      </c>
      <c r="P799" s="38">
        <f t="shared" si="648"/>
        <v>58.092999999999996</v>
      </c>
      <c r="Q799" s="2"/>
    </row>
    <row r="800" spans="1:17" x14ac:dyDescent="0.25">
      <c r="A800" s="122" t="str">
        <f>IF(TRIM(G800)&lt;&gt;"",COUNTA(G$7:$G800)&amp;"","")</f>
        <v>651</v>
      </c>
      <c r="B800" s="123"/>
      <c r="C800" s="123"/>
      <c r="D800" s="222"/>
      <c r="E800" s="220" t="s">
        <v>942</v>
      </c>
      <c r="F800" s="224">
        <v>2</v>
      </c>
      <c r="G800" s="125" t="s">
        <v>250</v>
      </c>
      <c r="H800" s="33">
        <v>0</v>
      </c>
      <c r="I800" s="82">
        <f t="shared" si="644"/>
        <v>2</v>
      </c>
      <c r="J800" s="225">
        <v>4.9800000000000004</v>
      </c>
      <c r="K800" s="35">
        <f t="shared" si="645"/>
        <v>9.9600000000000009</v>
      </c>
      <c r="L800" s="36">
        <f t="shared" si="579"/>
        <v>83</v>
      </c>
      <c r="M800" s="37">
        <v>0.62</v>
      </c>
      <c r="N800" s="37">
        <f t="shared" si="646"/>
        <v>1.24</v>
      </c>
      <c r="O800" s="35">
        <f t="shared" si="647"/>
        <v>102.92</v>
      </c>
      <c r="P800" s="38">
        <f t="shared" si="648"/>
        <v>112.88</v>
      </c>
      <c r="Q800" s="2"/>
    </row>
    <row r="801" spans="1:17" x14ac:dyDescent="0.25">
      <c r="A801" s="122" t="str">
        <f>IF(TRIM(G801)&lt;&gt;"",COUNTA(G$7:$G801)&amp;"","")</f>
        <v>652</v>
      </c>
      <c r="B801" s="123"/>
      <c r="C801" s="123"/>
      <c r="D801" s="222"/>
      <c r="E801" s="104" t="s">
        <v>943</v>
      </c>
      <c r="F801" s="224">
        <v>2</v>
      </c>
      <c r="G801" s="125" t="s">
        <v>250</v>
      </c>
      <c r="H801" s="33">
        <v>0</v>
      </c>
      <c r="I801" s="82">
        <f t="shared" si="644"/>
        <v>2</v>
      </c>
      <c r="J801" s="225">
        <v>11.03</v>
      </c>
      <c r="K801" s="35">
        <f t="shared" si="645"/>
        <v>22.06</v>
      </c>
      <c r="L801" s="36">
        <f t="shared" si="579"/>
        <v>83</v>
      </c>
      <c r="M801" s="37">
        <v>1.0529999999999999</v>
      </c>
      <c r="N801" s="37">
        <f t="shared" si="646"/>
        <v>2.1059999999999999</v>
      </c>
      <c r="O801" s="35">
        <f t="shared" si="647"/>
        <v>174.798</v>
      </c>
      <c r="P801" s="38">
        <f t="shared" si="648"/>
        <v>196.858</v>
      </c>
      <c r="Q801" s="2"/>
    </row>
    <row r="802" spans="1:17" x14ac:dyDescent="0.25">
      <c r="A802" s="122" t="str">
        <f>IF(TRIM(G802)&lt;&gt;"",COUNTA(G$7:$G802)&amp;"","")</f>
        <v>653</v>
      </c>
      <c r="B802" s="123"/>
      <c r="C802" s="123"/>
      <c r="D802" s="222"/>
      <c r="E802" s="220" t="s">
        <v>944</v>
      </c>
      <c r="F802" s="224">
        <v>10</v>
      </c>
      <c r="G802" s="125" t="s">
        <v>250</v>
      </c>
      <c r="H802" s="33">
        <v>0</v>
      </c>
      <c r="I802" s="82">
        <f>IF(F802=0,"",F802+(F802*H802))</f>
        <v>10</v>
      </c>
      <c r="J802" s="225">
        <v>12.69</v>
      </c>
      <c r="K802" s="35">
        <f>IF(F802=0,"",J802*I802)</f>
        <v>126.89999999999999</v>
      </c>
      <c r="L802" s="36">
        <f t="shared" si="579"/>
        <v>83</v>
      </c>
      <c r="M802" s="37">
        <v>0.84</v>
      </c>
      <c r="N802" s="37">
        <f>IF(F802=0,"",M802*I802)</f>
        <v>8.4</v>
      </c>
      <c r="O802" s="35">
        <f>IF(F802=0,"",N802*L802)</f>
        <v>697.2</v>
      </c>
      <c r="P802" s="38">
        <f>IF(F802=0,"",K802+O802)</f>
        <v>824.1</v>
      </c>
      <c r="Q802" s="2"/>
    </row>
    <row r="803" spans="1:17" x14ac:dyDescent="0.25">
      <c r="A803" s="122" t="str">
        <f>IF(TRIM(G803)&lt;&gt;"",COUNTA(G$7:$G803)&amp;"","")</f>
        <v>654</v>
      </c>
      <c r="B803" s="123"/>
      <c r="C803" s="123"/>
      <c r="D803" s="222"/>
      <c r="E803" s="220" t="s">
        <v>945</v>
      </c>
      <c r="F803" s="224">
        <v>1</v>
      </c>
      <c r="G803" s="125" t="s">
        <v>250</v>
      </c>
      <c r="H803" s="33">
        <v>0</v>
      </c>
      <c r="I803" s="82">
        <f t="shared" ref="I803" si="649">IF(F803=0,"",F803+(F803*H803))</f>
        <v>1</v>
      </c>
      <c r="J803" s="225">
        <v>15.34</v>
      </c>
      <c r="K803" s="35">
        <f t="shared" ref="K803" si="650">IF(F803=0,"",J803*I803)</f>
        <v>15.34</v>
      </c>
      <c r="L803" s="36">
        <f t="shared" si="579"/>
        <v>83</v>
      </c>
      <c r="M803" s="37">
        <v>0.87</v>
      </c>
      <c r="N803" s="37">
        <f t="shared" ref="N803" si="651">IF(F803=0,"",M803*I803)</f>
        <v>0.87</v>
      </c>
      <c r="O803" s="35">
        <f t="shared" ref="O803" si="652">IF(F803=0,"",N803*L803)</f>
        <v>72.209999999999994</v>
      </c>
      <c r="P803" s="38">
        <f t="shared" ref="P803" si="653">IF(F803=0,"",K803+O803)</f>
        <v>87.55</v>
      </c>
      <c r="Q803" s="2"/>
    </row>
    <row r="804" spans="1:17" x14ac:dyDescent="0.25">
      <c r="A804" s="122" t="str">
        <f>IF(TRIM(G804)&lt;&gt;"",COUNTA(G$7:$G804)&amp;"","")</f>
        <v>655</v>
      </c>
      <c r="B804" s="123"/>
      <c r="C804" s="123"/>
      <c r="D804" s="222"/>
      <c r="E804" s="220" t="s">
        <v>946</v>
      </c>
      <c r="F804" s="224">
        <v>1</v>
      </c>
      <c r="G804" s="125" t="s">
        <v>250</v>
      </c>
      <c r="H804" s="33">
        <v>0</v>
      </c>
      <c r="I804" s="82">
        <f t="shared" si="644"/>
        <v>1</v>
      </c>
      <c r="J804" s="225">
        <v>18.95</v>
      </c>
      <c r="K804" s="35">
        <f t="shared" si="645"/>
        <v>18.95</v>
      </c>
      <c r="L804" s="36">
        <f t="shared" si="579"/>
        <v>83</v>
      </c>
      <c r="M804" s="37">
        <v>0.89</v>
      </c>
      <c r="N804" s="37">
        <f t="shared" si="646"/>
        <v>0.89</v>
      </c>
      <c r="O804" s="35">
        <f t="shared" si="647"/>
        <v>73.87</v>
      </c>
      <c r="P804" s="38">
        <f t="shared" si="648"/>
        <v>92.820000000000007</v>
      </c>
      <c r="Q804" s="2"/>
    </row>
    <row r="805" spans="1:17" x14ac:dyDescent="0.25">
      <c r="A805" s="122" t="str">
        <f>IF(TRIM(G805)&lt;&gt;"",COUNTA(G$7:$G805)&amp;"","")</f>
        <v>656</v>
      </c>
      <c r="B805" s="123"/>
      <c r="C805" s="123"/>
      <c r="D805" s="222"/>
      <c r="E805" s="220" t="s">
        <v>947</v>
      </c>
      <c r="F805" s="224">
        <v>2</v>
      </c>
      <c r="G805" s="125" t="s">
        <v>250</v>
      </c>
      <c r="H805" s="33">
        <v>0</v>
      </c>
      <c r="I805" s="82">
        <f t="shared" si="644"/>
        <v>2</v>
      </c>
      <c r="J805" s="225">
        <v>20.61</v>
      </c>
      <c r="K805" s="35">
        <f t="shared" si="645"/>
        <v>41.22</v>
      </c>
      <c r="L805" s="36">
        <f t="shared" si="579"/>
        <v>83</v>
      </c>
      <c r="M805" s="37">
        <v>0.92</v>
      </c>
      <c r="N805" s="37">
        <f t="shared" si="646"/>
        <v>1.84</v>
      </c>
      <c r="O805" s="35">
        <f t="shared" si="647"/>
        <v>152.72</v>
      </c>
      <c r="P805" s="38">
        <f t="shared" si="648"/>
        <v>193.94</v>
      </c>
      <c r="Q805" s="2"/>
    </row>
    <row r="806" spans="1:17" x14ac:dyDescent="0.25">
      <c r="A806" s="122" t="str">
        <f>IF(TRIM(G806)&lt;&gt;"",COUNTA(G$7:$G806)&amp;"","")</f>
        <v>657</v>
      </c>
      <c r="B806" s="123"/>
      <c r="C806" s="123"/>
      <c r="D806" s="222"/>
      <c r="E806" s="220" t="s">
        <v>948</v>
      </c>
      <c r="F806" s="224">
        <v>1</v>
      </c>
      <c r="G806" s="125" t="s">
        <v>250</v>
      </c>
      <c r="H806" s="33">
        <v>0</v>
      </c>
      <c r="I806" s="82">
        <f t="shared" si="644"/>
        <v>1</v>
      </c>
      <c r="J806" s="225">
        <v>23.95</v>
      </c>
      <c r="K806" s="35">
        <f t="shared" si="645"/>
        <v>23.95</v>
      </c>
      <c r="L806" s="36">
        <f t="shared" si="579"/>
        <v>83</v>
      </c>
      <c r="M806" s="37">
        <v>0.96</v>
      </c>
      <c r="N806" s="37">
        <f t="shared" si="646"/>
        <v>0.96</v>
      </c>
      <c r="O806" s="35">
        <f t="shared" si="647"/>
        <v>79.679999999999993</v>
      </c>
      <c r="P806" s="38">
        <f t="shared" si="648"/>
        <v>103.63</v>
      </c>
      <c r="Q806" s="2"/>
    </row>
    <row r="807" spans="1:17" x14ac:dyDescent="0.25">
      <c r="A807" s="122" t="str">
        <f>IF(TRIM(G807)&lt;&gt;"",COUNTA(G$7:$G807)&amp;"","")</f>
        <v>658</v>
      </c>
      <c r="B807" s="123"/>
      <c r="C807" s="123"/>
      <c r="D807" s="222"/>
      <c r="E807" s="220" t="s">
        <v>949</v>
      </c>
      <c r="F807" s="224">
        <v>2</v>
      </c>
      <c r="G807" s="125" t="s">
        <v>250</v>
      </c>
      <c r="H807" s="33">
        <v>0</v>
      </c>
      <c r="I807" s="82">
        <f>IF(F807=0,"",F807+(F807*H807))</f>
        <v>2</v>
      </c>
      <c r="J807" s="225">
        <v>25.15</v>
      </c>
      <c r="K807" s="35">
        <f>IF(F807=0,"",J807*I807)</f>
        <v>50.3</v>
      </c>
      <c r="L807" s="36">
        <f t="shared" si="579"/>
        <v>83</v>
      </c>
      <c r="M807" s="37">
        <v>0.38500000000000001</v>
      </c>
      <c r="N807" s="37">
        <f>IF(F807=0,"",M807*I807)</f>
        <v>0.77</v>
      </c>
      <c r="O807" s="35">
        <f>IF(F807=0,"",N807*L807)</f>
        <v>63.910000000000004</v>
      </c>
      <c r="P807" s="38">
        <f>IF(F807=0,"",K807+O807)</f>
        <v>114.21000000000001</v>
      </c>
      <c r="Q807" s="2"/>
    </row>
    <row r="808" spans="1:17" x14ac:dyDescent="0.25">
      <c r="A808" s="122" t="str">
        <f>IF(TRIM(G808)&lt;&gt;"",COUNTA(G$7:$G808)&amp;"","")</f>
        <v/>
      </c>
      <c r="B808" s="123"/>
      <c r="C808" s="123"/>
      <c r="D808" s="222"/>
      <c r="E808" s="104"/>
      <c r="F808" s="224"/>
      <c r="G808" s="125"/>
      <c r="H808" s="33"/>
      <c r="I808" s="82"/>
      <c r="J808" s="225"/>
      <c r="K808" s="35"/>
      <c r="L808" s="36" t="str">
        <f t="shared" si="579"/>
        <v/>
      </c>
      <c r="M808" s="37"/>
      <c r="N808" s="37"/>
      <c r="O808" s="35"/>
      <c r="P808" s="38"/>
      <c r="Q808" s="2"/>
    </row>
    <row r="809" spans="1:17" x14ac:dyDescent="0.25">
      <c r="A809" s="122" t="str">
        <f>IF(TRIM(G809)&lt;&gt;"",COUNTA(G$7:$G809)&amp;"","")</f>
        <v/>
      </c>
      <c r="B809" s="123"/>
      <c r="C809" s="123"/>
      <c r="D809" s="222"/>
      <c r="E809" s="226" t="s">
        <v>785</v>
      </c>
      <c r="F809" s="224"/>
      <c r="G809" s="125"/>
      <c r="H809" s="33"/>
      <c r="I809" s="82" t="str">
        <f t="shared" ref="I809:I837" si="654">IF(F809=0,"",F809+(F809*H809))</f>
        <v/>
      </c>
      <c r="J809" s="225"/>
      <c r="K809" s="35" t="str">
        <f t="shared" ref="K809:K825" si="655">IF(F809=0,"",J809*I809)</f>
        <v/>
      </c>
      <c r="L809" s="36" t="str">
        <f t="shared" si="579"/>
        <v/>
      </c>
      <c r="M809" s="37"/>
      <c r="N809" s="37" t="str">
        <f t="shared" ref="N809:N841" si="656">IF(F809=0,"",M809*I809)</f>
        <v/>
      </c>
      <c r="O809" s="35" t="str">
        <f t="shared" ref="O809:O841" si="657">IF(F809=0,"",N809*L809)</f>
        <v/>
      </c>
      <c r="P809" s="38" t="str">
        <f t="shared" ref="P809:P841" si="658">IF(F809=0,"",K809+O809)</f>
        <v/>
      </c>
      <c r="Q809" s="2"/>
    </row>
    <row r="810" spans="1:17" x14ac:dyDescent="0.25">
      <c r="A810" s="122" t="str">
        <f>IF(TRIM(G810)&lt;&gt;"",COUNTA(G$7:$G810)&amp;"","")</f>
        <v>659</v>
      </c>
      <c r="B810" s="123"/>
      <c r="C810" s="123"/>
      <c r="D810" s="222"/>
      <c r="E810" s="104" t="s">
        <v>950</v>
      </c>
      <c r="F810" s="224">
        <v>1</v>
      </c>
      <c r="G810" s="125" t="s">
        <v>250</v>
      </c>
      <c r="H810" s="33">
        <v>0</v>
      </c>
      <c r="I810" s="82">
        <f t="shared" si="654"/>
        <v>1</v>
      </c>
      <c r="J810" s="225">
        <v>163.41</v>
      </c>
      <c r="K810" s="35">
        <f t="shared" si="655"/>
        <v>163.41</v>
      </c>
      <c r="L810" s="36">
        <f t="shared" si="579"/>
        <v>83</v>
      </c>
      <c r="M810" s="37">
        <v>0.84</v>
      </c>
      <c r="N810" s="37">
        <f t="shared" si="656"/>
        <v>0.84</v>
      </c>
      <c r="O810" s="35">
        <f t="shared" si="657"/>
        <v>69.72</v>
      </c>
      <c r="P810" s="38">
        <f t="shared" si="658"/>
        <v>233.13</v>
      </c>
      <c r="Q810" s="2"/>
    </row>
    <row r="811" spans="1:17" x14ac:dyDescent="0.25">
      <c r="A811" s="122" t="str">
        <f>IF(TRIM(G811)&lt;&gt;"",COUNTA(G$7:$G811)&amp;"","")</f>
        <v>660</v>
      </c>
      <c r="B811" s="123"/>
      <c r="C811" s="123"/>
      <c r="D811" s="222"/>
      <c r="E811" s="220" t="s">
        <v>951</v>
      </c>
      <c r="F811" s="224">
        <v>1</v>
      </c>
      <c r="G811" s="125" t="s">
        <v>250</v>
      </c>
      <c r="H811" s="33">
        <v>0</v>
      </c>
      <c r="I811" s="82">
        <f>IF(F811=0,"",F811+(F811*H811))</f>
        <v>1</v>
      </c>
      <c r="J811" s="225">
        <v>12.39</v>
      </c>
      <c r="K811" s="35">
        <f>IF(F811=0,"",J811*I811)</f>
        <v>12.39</v>
      </c>
      <c r="L811" s="36">
        <f t="shared" si="579"/>
        <v>83</v>
      </c>
      <c r="M811" s="37">
        <v>0.28000000000000003</v>
      </c>
      <c r="N811" s="37">
        <f>IF(F811=0,"",M811*I811)</f>
        <v>0.28000000000000003</v>
      </c>
      <c r="O811" s="35">
        <f>IF(F811=0,"",N811*L811)</f>
        <v>23.240000000000002</v>
      </c>
      <c r="P811" s="38">
        <f>IF(F811=0,"",K811+O811)</f>
        <v>35.630000000000003</v>
      </c>
      <c r="Q811" s="2"/>
    </row>
    <row r="812" spans="1:17" x14ac:dyDescent="0.25">
      <c r="A812" s="122" t="str">
        <f>IF(TRIM(G812)&lt;&gt;"",COUNTA(G$7:$G812)&amp;"","")</f>
        <v>661</v>
      </c>
      <c r="B812" s="123"/>
      <c r="C812" s="123"/>
      <c r="D812" s="222"/>
      <c r="E812" s="220" t="s">
        <v>952</v>
      </c>
      <c r="F812" s="224">
        <v>3</v>
      </c>
      <c r="G812" s="125" t="s">
        <v>250</v>
      </c>
      <c r="H812" s="33">
        <v>0</v>
      </c>
      <c r="I812" s="82">
        <f>IF(F812=0,"",F812+(F812*H812))</f>
        <v>3</v>
      </c>
      <c r="J812" s="225">
        <v>43.34</v>
      </c>
      <c r="K812" s="35">
        <f>IF(F812=0,"",J812*I812)</f>
        <v>130.02000000000001</v>
      </c>
      <c r="L812" s="36">
        <f t="shared" si="579"/>
        <v>83</v>
      </c>
      <c r="M812" s="37">
        <v>0.61</v>
      </c>
      <c r="N812" s="37">
        <f>IF(F812=0,"",M812*I812)</f>
        <v>1.83</v>
      </c>
      <c r="O812" s="35">
        <f>IF(F812=0,"",N812*L812)</f>
        <v>151.89000000000001</v>
      </c>
      <c r="P812" s="38">
        <f>IF(F812=0,"",K812+O812)</f>
        <v>281.91000000000003</v>
      </c>
      <c r="Q812" s="2"/>
    </row>
    <row r="813" spans="1:17" x14ac:dyDescent="0.25">
      <c r="A813" s="122" t="str">
        <f>IF(TRIM(G813)&lt;&gt;"",COUNTA(G$7:$G813)&amp;"","")</f>
        <v>662</v>
      </c>
      <c r="B813" s="123"/>
      <c r="C813" s="123"/>
      <c r="D813" s="222"/>
      <c r="E813" s="220" t="s">
        <v>953</v>
      </c>
      <c r="F813" s="224">
        <v>2</v>
      </c>
      <c r="G813" s="125" t="s">
        <v>250</v>
      </c>
      <c r="H813" s="33">
        <v>0</v>
      </c>
      <c r="I813" s="82">
        <f t="shared" si="654"/>
        <v>2</v>
      </c>
      <c r="J813" s="225">
        <v>102.95</v>
      </c>
      <c r="K813" s="35">
        <f t="shared" si="655"/>
        <v>205.9</v>
      </c>
      <c r="L813" s="36">
        <f t="shared" si="579"/>
        <v>83</v>
      </c>
      <c r="M813" s="37">
        <v>0.72299999999999998</v>
      </c>
      <c r="N813" s="37">
        <f t="shared" si="656"/>
        <v>1.446</v>
      </c>
      <c r="O813" s="35">
        <f t="shared" si="657"/>
        <v>120.018</v>
      </c>
      <c r="P813" s="38">
        <f t="shared" si="658"/>
        <v>325.91800000000001</v>
      </c>
      <c r="Q813" s="2"/>
    </row>
    <row r="814" spans="1:17" x14ac:dyDescent="0.25">
      <c r="A814" s="122" t="str">
        <f>IF(TRIM(G814)&lt;&gt;"",COUNTA(G$7:$G814)&amp;"","")</f>
        <v>663</v>
      </c>
      <c r="B814" s="123"/>
      <c r="C814" s="123"/>
      <c r="D814" s="222"/>
      <c r="E814" s="220" t="s">
        <v>954</v>
      </c>
      <c r="F814" s="224">
        <v>3</v>
      </c>
      <c r="G814" s="125" t="s">
        <v>250</v>
      </c>
      <c r="H814" s="33">
        <v>0</v>
      </c>
      <c r="I814" s="82">
        <f t="shared" si="654"/>
        <v>3</v>
      </c>
      <c r="J814" s="225">
        <v>131.76</v>
      </c>
      <c r="K814" s="35">
        <f t="shared" si="655"/>
        <v>395.28</v>
      </c>
      <c r="L814" s="36">
        <f t="shared" si="579"/>
        <v>83</v>
      </c>
      <c r="M814" s="37">
        <v>0.81</v>
      </c>
      <c r="N814" s="37">
        <f t="shared" si="656"/>
        <v>2.4300000000000002</v>
      </c>
      <c r="O814" s="35">
        <f t="shared" si="657"/>
        <v>201.69000000000003</v>
      </c>
      <c r="P814" s="38">
        <f t="shared" si="658"/>
        <v>596.97</v>
      </c>
      <c r="Q814" s="2"/>
    </row>
    <row r="815" spans="1:17" x14ac:dyDescent="0.25">
      <c r="A815" s="122" t="str">
        <f>IF(TRIM(G815)&lt;&gt;"",COUNTA(G$7:$G815)&amp;"","")</f>
        <v>664</v>
      </c>
      <c r="B815" s="123"/>
      <c r="C815" s="123"/>
      <c r="D815" s="222"/>
      <c r="E815" s="220" t="s">
        <v>955</v>
      </c>
      <c r="F815" s="224">
        <v>2</v>
      </c>
      <c r="G815" s="125" t="s">
        <v>250</v>
      </c>
      <c r="H815" s="33">
        <v>0</v>
      </c>
      <c r="I815" s="82">
        <f t="shared" si="654"/>
        <v>2</v>
      </c>
      <c r="J815" s="225">
        <v>180.95</v>
      </c>
      <c r="K815" s="35">
        <f t="shared" si="655"/>
        <v>361.9</v>
      </c>
      <c r="L815" s="36">
        <f t="shared" si="579"/>
        <v>83</v>
      </c>
      <c r="M815" s="37">
        <v>0.86699999999999999</v>
      </c>
      <c r="N815" s="37">
        <f t="shared" si="656"/>
        <v>1.734</v>
      </c>
      <c r="O815" s="35">
        <f t="shared" si="657"/>
        <v>143.922</v>
      </c>
      <c r="P815" s="38">
        <f t="shared" si="658"/>
        <v>505.822</v>
      </c>
      <c r="Q815" s="2"/>
    </row>
    <row r="816" spans="1:17" x14ac:dyDescent="0.25">
      <c r="A816" s="122" t="str">
        <f>IF(TRIM(G816)&lt;&gt;"",COUNTA(G$7:$G816)&amp;"","")</f>
        <v/>
      </c>
      <c r="B816" s="123"/>
      <c r="C816" s="123"/>
      <c r="D816" s="222"/>
      <c r="E816" s="104"/>
      <c r="F816" s="224"/>
      <c r="G816" s="125"/>
      <c r="H816" s="33"/>
      <c r="I816" s="82" t="str">
        <f t="shared" si="654"/>
        <v/>
      </c>
      <c r="J816" s="225"/>
      <c r="K816" s="35" t="str">
        <f t="shared" si="655"/>
        <v/>
      </c>
      <c r="L816" s="36" t="str">
        <f t="shared" si="579"/>
        <v/>
      </c>
      <c r="M816" s="37"/>
      <c r="N816" s="37" t="str">
        <f t="shared" si="656"/>
        <v/>
      </c>
      <c r="O816" s="35" t="str">
        <f t="shared" si="657"/>
        <v/>
      </c>
      <c r="P816" s="38" t="str">
        <f t="shared" si="658"/>
        <v/>
      </c>
      <c r="Q816" s="2"/>
    </row>
    <row r="817" spans="1:17" x14ac:dyDescent="0.25">
      <c r="A817" s="122" t="str">
        <f>IF(TRIM(G817)&lt;&gt;"",COUNTA(G$7:$G817)&amp;"","")</f>
        <v/>
      </c>
      <c r="B817" s="123"/>
      <c r="C817" s="123"/>
      <c r="D817" s="222"/>
      <c r="E817" s="223" t="s">
        <v>791</v>
      </c>
      <c r="F817" s="224"/>
      <c r="G817" s="125"/>
      <c r="H817" s="33"/>
      <c r="I817" s="82" t="str">
        <f t="shared" si="654"/>
        <v/>
      </c>
      <c r="J817" s="225"/>
      <c r="K817" s="35" t="str">
        <f t="shared" si="655"/>
        <v/>
      </c>
      <c r="L817" s="36" t="str">
        <f t="shared" si="579"/>
        <v/>
      </c>
      <c r="M817" s="37"/>
      <c r="N817" s="37" t="str">
        <f t="shared" si="656"/>
        <v/>
      </c>
      <c r="O817" s="35" t="str">
        <f t="shared" si="657"/>
        <v/>
      </c>
      <c r="P817" s="38" t="str">
        <f t="shared" si="658"/>
        <v/>
      </c>
      <c r="Q817" s="2"/>
    </row>
    <row r="818" spans="1:17" x14ac:dyDescent="0.25">
      <c r="A818" s="122" t="str">
        <f>IF(TRIM(G818)&lt;&gt;"",COUNTA(G$7:$G818)&amp;"","")</f>
        <v>665</v>
      </c>
      <c r="B818" s="123"/>
      <c r="C818" s="123"/>
      <c r="D818" s="222"/>
      <c r="E818" s="220" t="s">
        <v>956</v>
      </c>
      <c r="F818" s="224">
        <v>1</v>
      </c>
      <c r="G818" s="125" t="s">
        <v>250</v>
      </c>
      <c r="H818" s="33">
        <v>0</v>
      </c>
      <c r="I818" s="82">
        <f t="shared" si="654"/>
        <v>1</v>
      </c>
      <c r="J818" s="225">
        <v>45.77</v>
      </c>
      <c r="K818" s="35">
        <f t="shared" si="655"/>
        <v>45.77</v>
      </c>
      <c r="L818" s="36">
        <f t="shared" si="579"/>
        <v>83</v>
      </c>
      <c r="M818" s="37">
        <v>0.54</v>
      </c>
      <c r="N818" s="37">
        <f t="shared" si="656"/>
        <v>0.54</v>
      </c>
      <c r="O818" s="35">
        <f t="shared" si="657"/>
        <v>44.82</v>
      </c>
      <c r="P818" s="38">
        <f t="shared" si="658"/>
        <v>90.59</v>
      </c>
      <c r="Q818" s="2"/>
    </row>
    <row r="819" spans="1:17" x14ac:dyDescent="0.25">
      <c r="A819" s="122" t="str">
        <f>IF(TRIM(G819)&lt;&gt;"",COUNTA(G$7:$G819)&amp;"","")</f>
        <v>666</v>
      </c>
      <c r="B819" s="123"/>
      <c r="C819" s="123"/>
      <c r="D819" s="222"/>
      <c r="E819" s="220" t="s">
        <v>957</v>
      </c>
      <c r="F819" s="224">
        <v>2</v>
      </c>
      <c r="G819" s="125" t="s">
        <v>250</v>
      </c>
      <c r="H819" s="33">
        <v>0</v>
      </c>
      <c r="I819" s="82">
        <f t="shared" si="654"/>
        <v>2</v>
      </c>
      <c r="J819" s="225">
        <v>120.25</v>
      </c>
      <c r="K819" s="35">
        <f>IF(F819=0,"",J819*I819)</f>
        <v>240.5</v>
      </c>
      <c r="L819" s="36">
        <f t="shared" si="579"/>
        <v>83</v>
      </c>
      <c r="M819" s="37">
        <v>1.24</v>
      </c>
      <c r="N819" s="37">
        <f>IF(F819=0,"",M819*I819)</f>
        <v>2.48</v>
      </c>
      <c r="O819" s="35">
        <f>IF(F819=0,"",N819*L819)</f>
        <v>205.84</v>
      </c>
      <c r="P819" s="38">
        <f>IF(F819=0,"",K819+O819)</f>
        <v>446.34000000000003</v>
      </c>
      <c r="Q819" s="2"/>
    </row>
    <row r="820" spans="1:17" x14ac:dyDescent="0.25">
      <c r="A820" s="122" t="str">
        <f>IF(TRIM(G820)&lt;&gt;"",COUNTA(G$7:$G820)&amp;"","")</f>
        <v>667</v>
      </c>
      <c r="B820" s="123"/>
      <c r="C820" s="123"/>
      <c r="D820" s="222"/>
      <c r="E820" s="220" t="s">
        <v>958</v>
      </c>
      <c r="F820" s="224">
        <v>20</v>
      </c>
      <c r="G820" s="125" t="s">
        <v>250</v>
      </c>
      <c r="H820" s="33">
        <v>0</v>
      </c>
      <c r="I820" s="82">
        <f t="shared" si="654"/>
        <v>20</v>
      </c>
      <c r="J820" s="225">
        <v>144.69</v>
      </c>
      <c r="K820" s="35">
        <f>IF(F820=0,"",J820*I820)</f>
        <v>2893.8</v>
      </c>
      <c r="L820" s="36">
        <f t="shared" si="579"/>
        <v>83</v>
      </c>
      <c r="M820" s="37">
        <v>1.24</v>
      </c>
      <c r="N820" s="37">
        <f>IF(F820=0,"",M820*I820)</f>
        <v>24.8</v>
      </c>
      <c r="O820" s="35">
        <f>IF(F820=0,"",N820*L820)</f>
        <v>2058.4</v>
      </c>
      <c r="P820" s="38">
        <f>IF(F820=0,"",K820+O820)</f>
        <v>4952.2000000000007</v>
      </c>
      <c r="Q820" s="2"/>
    </row>
    <row r="821" spans="1:17" x14ac:dyDescent="0.25">
      <c r="A821" s="122" t="str">
        <f>IF(TRIM(G821)&lt;&gt;"",COUNTA(G$7:$G821)&amp;"","")</f>
        <v>668</v>
      </c>
      <c r="B821" s="123"/>
      <c r="C821" s="123"/>
      <c r="D821" s="222"/>
      <c r="E821" s="220" t="s">
        <v>959</v>
      </c>
      <c r="F821" s="224">
        <v>4</v>
      </c>
      <c r="G821" s="125" t="s">
        <v>250</v>
      </c>
      <c r="H821" s="33">
        <v>0</v>
      </c>
      <c r="I821" s="82">
        <f t="shared" si="654"/>
        <v>4</v>
      </c>
      <c r="J821" s="225">
        <v>168.95</v>
      </c>
      <c r="K821" s="35">
        <f t="shared" ref="K821:K822" si="659">IF(F821=0,"",J821*I821)</f>
        <v>675.8</v>
      </c>
      <c r="L821" s="36">
        <f t="shared" si="579"/>
        <v>83</v>
      </c>
      <c r="M821" s="37">
        <v>1.33</v>
      </c>
      <c r="N821" s="37">
        <f t="shared" ref="N821:N822" si="660">IF(F821=0,"",M821*I821)</f>
        <v>5.32</v>
      </c>
      <c r="O821" s="35">
        <f t="shared" ref="O821:O822" si="661">IF(F821=0,"",N821*L821)</f>
        <v>441.56</v>
      </c>
      <c r="P821" s="38">
        <f t="shared" ref="P821:P822" si="662">IF(F821=0,"",K821+O821)</f>
        <v>1117.3599999999999</v>
      </c>
      <c r="Q821" s="2"/>
    </row>
    <row r="822" spans="1:17" x14ac:dyDescent="0.25">
      <c r="A822" s="122" t="str">
        <f>IF(TRIM(G822)&lt;&gt;"",COUNTA(G$7:$G822)&amp;"","")</f>
        <v>669</v>
      </c>
      <c r="B822" s="123"/>
      <c r="C822" s="123"/>
      <c r="D822" s="222"/>
      <c r="E822" s="220" t="s">
        <v>960</v>
      </c>
      <c r="F822" s="224">
        <v>1</v>
      </c>
      <c r="G822" s="125" t="s">
        <v>250</v>
      </c>
      <c r="H822" s="33">
        <v>0</v>
      </c>
      <c r="I822" s="82">
        <f t="shared" si="654"/>
        <v>1</v>
      </c>
      <c r="J822" s="225">
        <v>210.23</v>
      </c>
      <c r="K822" s="35">
        <f t="shared" si="659"/>
        <v>210.23</v>
      </c>
      <c r="L822" s="36">
        <f t="shared" si="579"/>
        <v>83</v>
      </c>
      <c r="M822" s="37">
        <v>1.33</v>
      </c>
      <c r="N822" s="37">
        <f t="shared" si="660"/>
        <v>1.33</v>
      </c>
      <c r="O822" s="35">
        <f t="shared" si="661"/>
        <v>110.39</v>
      </c>
      <c r="P822" s="38">
        <f t="shared" si="662"/>
        <v>320.62</v>
      </c>
      <c r="Q822" s="2"/>
    </row>
    <row r="823" spans="1:17" x14ac:dyDescent="0.25">
      <c r="A823" s="122" t="str">
        <f>IF(TRIM(G823)&lt;&gt;"",COUNTA(G$7:$G823)&amp;"","")</f>
        <v>670</v>
      </c>
      <c r="B823" s="123"/>
      <c r="C823" s="123"/>
      <c r="D823" s="222"/>
      <c r="E823" s="104" t="s">
        <v>961</v>
      </c>
      <c r="F823" s="224">
        <v>2</v>
      </c>
      <c r="G823" s="125" t="s">
        <v>250</v>
      </c>
      <c r="H823" s="33">
        <v>0</v>
      </c>
      <c r="I823" s="82">
        <f t="shared" si="654"/>
        <v>2</v>
      </c>
      <c r="J823" s="225">
        <v>131.63</v>
      </c>
      <c r="K823" s="35">
        <f>IF(F823=0,"",J823*I823)</f>
        <v>263.26</v>
      </c>
      <c r="L823" s="36">
        <f t="shared" si="579"/>
        <v>83</v>
      </c>
      <c r="M823" s="37">
        <v>1.232</v>
      </c>
      <c r="N823" s="37">
        <f>IF(F823=0,"",M823*I823)</f>
        <v>2.464</v>
      </c>
      <c r="O823" s="35">
        <f>IF(F823=0,"",N823*L823)</f>
        <v>204.512</v>
      </c>
      <c r="P823" s="38">
        <f>IF(F823=0,"",K823+O823)</f>
        <v>467.77199999999999</v>
      </c>
      <c r="Q823" s="2"/>
    </row>
    <row r="824" spans="1:17" x14ac:dyDescent="0.25">
      <c r="A824" s="122" t="str">
        <f>IF(TRIM(G824)&lt;&gt;"",COUNTA(G$7:$G824)&amp;"","")</f>
        <v>671</v>
      </c>
      <c r="B824" s="123"/>
      <c r="C824" s="123"/>
      <c r="D824" s="222"/>
      <c r="E824" s="104" t="s">
        <v>962</v>
      </c>
      <c r="F824" s="224">
        <v>4</v>
      </c>
      <c r="G824" s="125" t="s">
        <v>250</v>
      </c>
      <c r="H824" s="33">
        <v>0</v>
      </c>
      <c r="I824" s="82">
        <f t="shared" si="654"/>
        <v>4</v>
      </c>
      <c r="J824" s="225">
        <v>269.99</v>
      </c>
      <c r="K824" s="35">
        <f>IF(F824=0,"",J824*I824)</f>
        <v>1079.96</v>
      </c>
      <c r="L824" s="36">
        <f t="shared" si="579"/>
        <v>83</v>
      </c>
      <c r="M824" s="37">
        <v>1.2310000000000001</v>
      </c>
      <c r="N824" s="37">
        <f>IF(F824=0,"",M824*I824)</f>
        <v>4.9240000000000004</v>
      </c>
      <c r="O824" s="35">
        <f>IF(F824=0,"",N824*L824)</f>
        <v>408.69200000000001</v>
      </c>
      <c r="P824" s="38">
        <f>IF(F824=0,"",K824+O824)</f>
        <v>1488.652</v>
      </c>
      <c r="Q824" s="2"/>
    </row>
    <row r="825" spans="1:17" x14ac:dyDescent="0.25">
      <c r="A825" s="122" t="str">
        <f>IF(TRIM(G825)&lt;&gt;"",COUNTA(G$7:$G825)&amp;"","")</f>
        <v>672</v>
      </c>
      <c r="B825" s="123"/>
      <c r="C825" s="123"/>
      <c r="D825" s="222"/>
      <c r="E825" s="220" t="s">
        <v>963</v>
      </c>
      <c r="F825" s="224">
        <v>4</v>
      </c>
      <c r="G825" s="125" t="s">
        <v>250</v>
      </c>
      <c r="H825" s="33">
        <v>0</v>
      </c>
      <c r="I825" s="82">
        <f t="shared" si="654"/>
        <v>4</v>
      </c>
      <c r="J825" s="217"/>
      <c r="K825" s="35">
        <f t="shared" si="655"/>
        <v>0</v>
      </c>
      <c r="L825" s="36">
        <f t="shared" si="579"/>
        <v>83</v>
      </c>
      <c r="M825" s="37">
        <v>4.4000000000000004</v>
      </c>
      <c r="N825" s="37">
        <f t="shared" si="656"/>
        <v>17.600000000000001</v>
      </c>
      <c r="O825" s="35">
        <f t="shared" si="657"/>
        <v>1460.8000000000002</v>
      </c>
      <c r="P825" s="38">
        <f t="shared" si="658"/>
        <v>1460.8000000000002</v>
      </c>
      <c r="Q825" s="2"/>
    </row>
    <row r="826" spans="1:17" x14ac:dyDescent="0.25">
      <c r="A826" s="122" t="str">
        <f>IF(TRIM(G826)&lt;&gt;"",COUNTA(G$7:$G826)&amp;"","")</f>
        <v>673</v>
      </c>
      <c r="B826" s="123"/>
      <c r="C826" s="123"/>
      <c r="D826" s="222"/>
      <c r="E826" s="220" t="s">
        <v>964</v>
      </c>
      <c r="F826" s="224">
        <v>1</v>
      </c>
      <c r="G826" s="125" t="s">
        <v>250</v>
      </c>
      <c r="H826" s="33">
        <v>0</v>
      </c>
      <c r="I826" s="82">
        <f t="shared" si="654"/>
        <v>1</v>
      </c>
      <c r="J826" s="217"/>
      <c r="K826" s="35">
        <f>IF(F826=0,"",J826*I826)</f>
        <v>0</v>
      </c>
      <c r="L826" s="36">
        <f t="shared" si="579"/>
        <v>83</v>
      </c>
      <c r="M826" s="37">
        <v>1.1200000000000001</v>
      </c>
      <c r="N826" s="37">
        <f>IF(F826=0,"",M826*I826)</f>
        <v>1.1200000000000001</v>
      </c>
      <c r="O826" s="35">
        <f>IF(F826=0,"",N826*L826)</f>
        <v>92.960000000000008</v>
      </c>
      <c r="P826" s="38">
        <f>IF(F826=0,"",K826+O826)</f>
        <v>92.960000000000008</v>
      </c>
      <c r="Q826" s="2"/>
    </row>
    <row r="827" spans="1:17" x14ac:dyDescent="0.25">
      <c r="A827" s="122" t="str">
        <f>IF(TRIM(G827)&lt;&gt;"",COUNTA(G$7:$G827)&amp;"","")</f>
        <v>674</v>
      </c>
      <c r="B827" s="123"/>
      <c r="C827" s="123"/>
      <c r="D827" s="222"/>
      <c r="E827" s="220" t="s">
        <v>965</v>
      </c>
      <c r="F827" s="224">
        <v>1</v>
      </c>
      <c r="G827" s="125" t="s">
        <v>250</v>
      </c>
      <c r="H827" s="33">
        <v>0</v>
      </c>
      <c r="I827" s="82">
        <f t="shared" si="654"/>
        <v>1</v>
      </c>
      <c r="J827" s="217"/>
      <c r="K827" s="35">
        <f t="shared" ref="K827" si="663">IF(F827=0,"",J827*I827)</f>
        <v>0</v>
      </c>
      <c r="L827" s="36">
        <f t="shared" si="579"/>
        <v>83</v>
      </c>
      <c r="M827" s="37">
        <v>1.1200000000000001</v>
      </c>
      <c r="N827" s="37">
        <f t="shared" ref="N827" si="664">IF(F827=0,"",M827*I827)</f>
        <v>1.1200000000000001</v>
      </c>
      <c r="O827" s="35">
        <f t="shared" ref="O827" si="665">IF(F827=0,"",N827*L827)</f>
        <v>92.960000000000008</v>
      </c>
      <c r="P827" s="38">
        <f t="shared" ref="P827" si="666">IF(F827=0,"",K827+O827)</f>
        <v>92.960000000000008</v>
      </c>
      <c r="Q827" s="2"/>
    </row>
    <row r="828" spans="1:17" x14ac:dyDescent="0.25">
      <c r="A828" s="122" t="str">
        <f>IF(TRIM(G828)&lt;&gt;"",COUNTA(G$7:$G828)&amp;"","")</f>
        <v>675</v>
      </c>
      <c r="B828" s="123"/>
      <c r="C828" s="123"/>
      <c r="D828" s="222"/>
      <c r="E828" s="220" t="s">
        <v>966</v>
      </c>
      <c r="F828" s="224">
        <v>1</v>
      </c>
      <c r="G828" s="125" t="s">
        <v>250</v>
      </c>
      <c r="H828" s="33">
        <v>0</v>
      </c>
      <c r="I828" s="82">
        <f t="shared" si="654"/>
        <v>1</v>
      </c>
      <c r="J828" s="217"/>
      <c r="K828" s="35">
        <f>IF(F828=0,"",J828*I828)</f>
        <v>0</v>
      </c>
      <c r="L828" s="36">
        <f t="shared" si="579"/>
        <v>83</v>
      </c>
      <c r="M828" s="37">
        <v>0.94</v>
      </c>
      <c r="N828" s="37">
        <f>IF(F828=0,"",M828*I828)</f>
        <v>0.94</v>
      </c>
      <c r="O828" s="35">
        <f>IF(F828=0,"",N828*L828)</f>
        <v>78.02</v>
      </c>
      <c r="P828" s="38">
        <f>IF(F828=0,"",K828+O828)</f>
        <v>78.02</v>
      </c>
      <c r="Q828" s="2"/>
    </row>
    <row r="829" spans="1:17" x14ac:dyDescent="0.25">
      <c r="A829" s="122" t="str">
        <f>IF(TRIM(G829)&lt;&gt;"",COUNTA(G$7:$G829)&amp;"","")</f>
        <v>676</v>
      </c>
      <c r="B829" s="123"/>
      <c r="C829" s="123"/>
      <c r="D829" s="222"/>
      <c r="E829" s="104" t="s">
        <v>967</v>
      </c>
      <c r="F829" s="224">
        <v>3</v>
      </c>
      <c r="G829" s="125" t="s">
        <v>250</v>
      </c>
      <c r="H829" s="33">
        <v>0</v>
      </c>
      <c r="I829" s="82">
        <f t="shared" si="654"/>
        <v>3</v>
      </c>
      <c r="J829" s="217"/>
      <c r="K829" s="35">
        <f>IF(F829=0,"",J829*I829)</f>
        <v>0</v>
      </c>
      <c r="L829" s="36">
        <f t="shared" si="579"/>
        <v>83</v>
      </c>
      <c r="M829" s="37">
        <v>1.75</v>
      </c>
      <c r="N829" s="37">
        <f>IF(F829=0,"",M829*I829)</f>
        <v>5.25</v>
      </c>
      <c r="O829" s="35">
        <f>IF(F829=0,"",N829*L829)</f>
        <v>435.75</v>
      </c>
      <c r="P829" s="38">
        <f>IF(F829=0,"",K829+O829)</f>
        <v>435.75</v>
      </c>
      <c r="Q829" s="2"/>
    </row>
    <row r="830" spans="1:17" x14ac:dyDescent="0.25">
      <c r="A830" s="122" t="str">
        <f>IF(TRIM(G830)&lt;&gt;"",COUNTA(G$7:$G830)&amp;"","")</f>
        <v>677</v>
      </c>
      <c r="B830" s="123"/>
      <c r="C830" s="123"/>
      <c r="D830" s="222"/>
      <c r="E830" s="220" t="s">
        <v>968</v>
      </c>
      <c r="F830" s="224">
        <v>1</v>
      </c>
      <c r="G830" s="125" t="s">
        <v>250</v>
      </c>
      <c r="H830" s="33">
        <v>0</v>
      </c>
      <c r="I830" s="82">
        <f t="shared" si="654"/>
        <v>1</v>
      </c>
      <c r="J830" s="217"/>
      <c r="K830" s="35">
        <f>IF(F830=0,"",J830*I830)</f>
        <v>0</v>
      </c>
      <c r="L830" s="36">
        <f t="shared" si="579"/>
        <v>83</v>
      </c>
      <c r="M830" s="37">
        <v>4.3499999999999996</v>
      </c>
      <c r="N830" s="37">
        <f>IF(F830=0,"",M830*I830)</f>
        <v>4.3499999999999996</v>
      </c>
      <c r="O830" s="35">
        <f>IF(F830=0,"",N830*L830)</f>
        <v>361.04999999999995</v>
      </c>
      <c r="P830" s="38">
        <f>IF(F830=0,"",K830+O830)</f>
        <v>361.04999999999995</v>
      </c>
      <c r="Q830" s="2"/>
    </row>
    <row r="831" spans="1:17" x14ac:dyDescent="0.25">
      <c r="A831" s="122" t="str">
        <f>IF(TRIM(G831)&lt;&gt;"",COUNTA(G$7:$G831)&amp;"","")</f>
        <v>678</v>
      </c>
      <c r="B831" s="123"/>
      <c r="C831" s="123"/>
      <c r="D831" s="222"/>
      <c r="E831" s="220" t="s">
        <v>969</v>
      </c>
      <c r="F831" s="224">
        <v>4</v>
      </c>
      <c r="G831" s="125" t="s">
        <v>250</v>
      </c>
      <c r="H831" s="33">
        <v>0</v>
      </c>
      <c r="I831" s="82">
        <f t="shared" si="654"/>
        <v>4</v>
      </c>
      <c r="J831" s="217"/>
      <c r="K831" s="35">
        <f>IF(F831=0,"",J831*I831)</f>
        <v>0</v>
      </c>
      <c r="L831" s="36">
        <f t="shared" si="579"/>
        <v>83</v>
      </c>
      <c r="M831" s="37">
        <v>5.0999999999999996</v>
      </c>
      <c r="N831" s="37">
        <f>IF(F831=0,"",M831*I831)</f>
        <v>20.399999999999999</v>
      </c>
      <c r="O831" s="35">
        <f>IF(F831=0,"",N831*L831)</f>
        <v>1693.1999999999998</v>
      </c>
      <c r="P831" s="38">
        <f>IF(F831=0,"",K831+O831)</f>
        <v>1693.1999999999998</v>
      </c>
      <c r="Q831" s="2"/>
    </row>
    <row r="832" spans="1:17" x14ac:dyDescent="0.25">
      <c r="A832" s="122" t="str">
        <f>IF(TRIM(G832)&lt;&gt;"",COUNTA(G$7:$G832)&amp;"","")</f>
        <v>679</v>
      </c>
      <c r="B832" s="123"/>
      <c r="C832" s="123"/>
      <c r="D832" s="222"/>
      <c r="E832" s="220" t="s">
        <v>970</v>
      </c>
      <c r="F832" s="224">
        <v>1</v>
      </c>
      <c r="G832" s="125" t="s">
        <v>250</v>
      </c>
      <c r="H832" s="33">
        <v>0</v>
      </c>
      <c r="I832" s="82">
        <f t="shared" si="654"/>
        <v>1</v>
      </c>
      <c r="J832" s="217"/>
      <c r="K832" s="35">
        <f>IF(F832=0,"",J832*I832)</f>
        <v>0</v>
      </c>
      <c r="L832" s="36">
        <f t="shared" si="579"/>
        <v>83</v>
      </c>
      <c r="M832" s="37">
        <v>18.23</v>
      </c>
      <c r="N832" s="37">
        <f>IF(F832=0,"",M832*I832)</f>
        <v>18.23</v>
      </c>
      <c r="O832" s="35">
        <f>IF(F832=0,"",N832*L832)</f>
        <v>1513.0900000000001</v>
      </c>
      <c r="P832" s="38">
        <f>IF(F832=0,"",K832+O832)</f>
        <v>1513.0900000000001</v>
      </c>
      <c r="Q832" s="2"/>
    </row>
    <row r="833" spans="1:17" x14ac:dyDescent="0.25">
      <c r="A833" s="122" t="str">
        <f>IF(TRIM(G833)&lt;&gt;"",COUNTA(G$7:$G833)&amp;"","")</f>
        <v>680</v>
      </c>
      <c r="B833" s="123"/>
      <c r="C833" s="123"/>
      <c r="D833" s="222"/>
      <c r="E833" s="220" t="s">
        <v>971</v>
      </c>
      <c r="F833" s="224">
        <v>1</v>
      </c>
      <c r="G833" s="125" t="s">
        <v>250</v>
      </c>
      <c r="H833" s="33">
        <v>0</v>
      </c>
      <c r="I833" s="82">
        <f t="shared" si="654"/>
        <v>1</v>
      </c>
      <c r="J833" s="217"/>
      <c r="K833" s="35">
        <f t="shared" ref="K833" si="667">IF(F833=0,"",J833*I833)</f>
        <v>0</v>
      </c>
      <c r="L833" s="36">
        <f t="shared" si="579"/>
        <v>83</v>
      </c>
      <c r="M833" s="37">
        <v>18.23</v>
      </c>
      <c r="N833" s="37">
        <f t="shared" ref="N833" si="668">IF(F833=0,"",M833*I833)</f>
        <v>18.23</v>
      </c>
      <c r="O833" s="35">
        <f t="shared" ref="O833" si="669">IF(F833=0,"",N833*L833)</f>
        <v>1513.0900000000001</v>
      </c>
      <c r="P833" s="38">
        <f t="shared" ref="P833" si="670">IF(F833=0,"",K833+O833)</f>
        <v>1513.0900000000001</v>
      </c>
      <c r="Q833" s="2"/>
    </row>
    <row r="834" spans="1:17" x14ac:dyDescent="0.25">
      <c r="A834" s="122" t="str">
        <f>IF(TRIM(G834)&lt;&gt;"",COUNTA(G$7:$G834)&amp;"","")</f>
        <v>681</v>
      </c>
      <c r="B834" s="123"/>
      <c r="C834" s="123"/>
      <c r="D834" s="222"/>
      <c r="E834" s="220" t="s">
        <v>972</v>
      </c>
      <c r="F834" s="224">
        <v>1</v>
      </c>
      <c r="G834" s="125" t="s">
        <v>250</v>
      </c>
      <c r="H834" s="33">
        <v>0</v>
      </c>
      <c r="I834" s="82">
        <f t="shared" si="654"/>
        <v>1</v>
      </c>
      <c r="J834" s="217"/>
      <c r="K834" s="35">
        <f>IF(F834=0,"",J834*I834)</f>
        <v>0</v>
      </c>
      <c r="L834" s="36">
        <f t="shared" si="579"/>
        <v>83</v>
      </c>
      <c r="M834" s="37">
        <v>6.1</v>
      </c>
      <c r="N834" s="37">
        <f>IF(F834=0,"",M834*I834)</f>
        <v>6.1</v>
      </c>
      <c r="O834" s="35">
        <f>IF(F834=0,"",N834*L834)</f>
        <v>506.29999999999995</v>
      </c>
      <c r="P834" s="38">
        <f>IF(F834=0,"",K834+O834)</f>
        <v>506.29999999999995</v>
      </c>
      <c r="Q834" s="2"/>
    </row>
    <row r="835" spans="1:17" x14ac:dyDescent="0.25">
      <c r="A835" s="122" t="str">
        <f>IF(TRIM(G835)&lt;&gt;"",COUNTA(G$7:$G835)&amp;"","")</f>
        <v>682</v>
      </c>
      <c r="B835" s="123"/>
      <c r="C835" s="123"/>
      <c r="D835" s="222"/>
      <c r="E835" s="220" t="s">
        <v>973</v>
      </c>
      <c r="F835" s="224">
        <v>1</v>
      </c>
      <c r="G835" s="125" t="s">
        <v>250</v>
      </c>
      <c r="H835" s="33">
        <v>0</v>
      </c>
      <c r="I835" s="82">
        <f t="shared" si="654"/>
        <v>1</v>
      </c>
      <c r="J835" s="217"/>
      <c r="K835" s="35">
        <f t="shared" ref="K835" si="671">IF(F835=0,"",J835*I835)</f>
        <v>0</v>
      </c>
      <c r="L835" s="36">
        <f t="shared" si="579"/>
        <v>83</v>
      </c>
      <c r="M835" s="37">
        <v>6.1</v>
      </c>
      <c r="N835" s="37">
        <f t="shared" ref="N835" si="672">IF(F835=0,"",M835*I835)</f>
        <v>6.1</v>
      </c>
      <c r="O835" s="35">
        <f t="shared" ref="O835" si="673">IF(F835=0,"",N835*L835)</f>
        <v>506.29999999999995</v>
      </c>
      <c r="P835" s="38">
        <f t="shared" ref="P835" si="674">IF(F835=0,"",K835+O835)</f>
        <v>506.29999999999995</v>
      </c>
      <c r="Q835" s="2"/>
    </row>
    <row r="836" spans="1:17" x14ac:dyDescent="0.25">
      <c r="A836" s="122" t="str">
        <f>IF(TRIM(G836)&lt;&gt;"",COUNTA(G$7:$G836)&amp;"","")</f>
        <v>683</v>
      </c>
      <c r="B836" s="123"/>
      <c r="C836" s="123"/>
      <c r="D836" s="222"/>
      <c r="E836" s="220" t="s">
        <v>974</v>
      </c>
      <c r="F836" s="224">
        <v>1</v>
      </c>
      <c r="G836" s="125" t="s">
        <v>250</v>
      </c>
      <c r="H836" s="33">
        <v>0</v>
      </c>
      <c r="I836" s="82">
        <f t="shared" si="654"/>
        <v>1</v>
      </c>
      <c r="J836" s="217"/>
      <c r="K836" s="35">
        <f>IF(F836=0,"",J836*I836)</f>
        <v>0</v>
      </c>
      <c r="L836" s="36">
        <f t="shared" si="579"/>
        <v>83</v>
      </c>
      <c r="M836" s="37">
        <v>6.1</v>
      </c>
      <c r="N836" s="37">
        <f>IF(F836=0,"",M836*I836)</f>
        <v>6.1</v>
      </c>
      <c r="O836" s="35">
        <f>IF(F836=0,"",N836*L836)</f>
        <v>506.29999999999995</v>
      </c>
      <c r="P836" s="38">
        <f>IF(F836=0,"",K836+O836)</f>
        <v>506.29999999999995</v>
      </c>
      <c r="Q836" s="2"/>
    </row>
    <row r="837" spans="1:17" x14ac:dyDescent="0.25">
      <c r="A837" s="122" t="str">
        <f>IF(TRIM(G837)&lt;&gt;"",COUNTA(G$7:$G837)&amp;"","")</f>
        <v>684</v>
      </c>
      <c r="B837" s="123"/>
      <c r="C837" s="123"/>
      <c r="D837" s="222"/>
      <c r="E837" s="104" t="s">
        <v>975</v>
      </c>
      <c r="F837" s="224">
        <v>1</v>
      </c>
      <c r="G837" s="125" t="s">
        <v>250</v>
      </c>
      <c r="H837" s="33">
        <v>0</v>
      </c>
      <c r="I837" s="82">
        <f t="shared" si="654"/>
        <v>1</v>
      </c>
      <c r="J837" s="217"/>
      <c r="K837" s="35">
        <f t="shared" ref="K837" si="675">IF(F837=0,"",J837*I837)</f>
        <v>0</v>
      </c>
      <c r="L837" s="36">
        <f t="shared" si="579"/>
        <v>83</v>
      </c>
      <c r="M837" s="37">
        <v>15.266999999999999</v>
      </c>
      <c r="N837" s="37">
        <f t="shared" ref="N837" si="676">IF(F837=0,"",M837*I837)</f>
        <v>15.266999999999999</v>
      </c>
      <c r="O837" s="35">
        <f t="shared" ref="O837" si="677">IF(F837=0,"",N837*L837)</f>
        <v>1267.1610000000001</v>
      </c>
      <c r="P837" s="38">
        <f t="shared" ref="P837" si="678">IF(F837=0,"",K837+O837)</f>
        <v>1267.1610000000001</v>
      </c>
      <c r="Q837" s="2"/>
    </row>
    <row r="838" spans="1:17" x14ac:dyDescent="0.25">
      <c r="A838" s="122" t="str">
        <f>IF(TRIM(G838)&lt;&gt;"",COUNTA(G$7:$G838)&amp;"","")</f>
        <v>685</v>
      </c>
      <c r="B838" s="123"/>
      <c r="C838" s="123"/>
      <c r="D838" s="222"/>
      <c r="E838" s="220" t="s">
        <v>976</v>
      </c>
      <c r="F838" s="224">
        <v>10</v>
      </c>
      <c r="G838" s="125" t="s">
        <v>250</v>
      </c>
      <c r="H838" s="33">
        <v>0</v>
      </c>
      <c r="I838" s="82">
        <f>IF(F838=0,"",F838+(F838*H838))</f>
        <v>10</v>
      </c>
      <c r="J838" s="237"/>
      <c r="K838" s="35">
        <f>IF(F838=0,"",J838*I838)</f>
        <v>0</v>
      </c>
      <c r="L838" s="36">
        <f t="shared" si="579"/>
        <v>83</v>
      </c>
      <c r="M838" s="238"/>
      <c r="N838" s="37">
        <f>IF(F838=0,"",M838*I838)</f>
        <v>0</v>
      </c>
      <c r="O838" s="35">
        <f>IF(F838=0,"",N838*L838)</f>
        <v>0</v>
      </c>
      <c r="P838" s="38">
        <f>IF(F838=0,"",K838+O838)</f>
        <v>0</v>
      </c>
      <c r="Q838" s="2"/>
    </row>
    <row r="839" spans="1:17" x14ac:dyDescent="0.25">
      <c r="A839" s="122" t="str">
        <f>IF(TRIM(G839)&lt;&gt;"",COUNTA(G$7:$G839)&amp;"","")</f>
        <v>686</v>
      </c>
      <c r="B839" s="123"/>
      <c r="C839" s="123"/>
      <c r="D839" s="222"/>
      <c r="E839" s="220" t="s">
        <v>977</v>
      </c>
      <c r="F839" s="224">
        <v>4</v>
      </c>
      <c r="G839" s="125" t="s">
        <v>250</v>
      </c>
      <c r="H839" s="33">
        <v>0</v>
      </c>
      <c r="I839" s="82">
        <f>IF(F839=0,"",F839+(F839*H839))</f>
        <v>4</v>
      </c>
      <c r="J839" s="237"/>
      <c r="K839" s="35">
        <f>IF(F839=0,"",J839*I839)</f>
        <v>0</v>
      </c>
      <c r="L839" s="36">
        <f t="shared" si="579"/>
        <v>83</v>
      </c>
      <c r="M839" s="238"/>
      <c r="N839" s="37">
        <f>IF(F839=0,"",M839*I839)</f>
        <v>0</v>
      </c>
      <c r="O839" s="35">
        <f>IF(F839=0,"",N839*L839)</f>
        <v>0</v>
      </c>
      <c r="P839" s="38">
        <f>IF(F839=0,"",K839+O839)</f>
        <v>0</v>
      </c>
      <c r="Q839" s="2"/>
    </row>
    <row r="840" spans="1:17" x14ac:dyDescent="0.25">
      <c r="A840" s="122" t="str">
        <f>IF(TRIM(G840)&lt;&gt;"",COUNTA(G$7:$G840)&amp;"","")</f>
        <v/>
      </c>
      <c r="B840" s="123"/>
      <c r="C840" s="123"/>
      <c r="D840" s="222"/>
      <c r="E840" s="104"/>
      <c r="F840" s="224"/>
      <c r="G840" s="125"/>
      <c r="H840" s="33"/>
      <c r="I840" s="82" t="str">
        <f t="shared" ref="I840:I841" si="679">IF(F840=0,"",F840+(F840*H840))</f>
        <v/>
      </c>
      <c r="J840" s="225"/>
      <c r="K840" s="35" t="str">
        <f t="shared" ref="K840:K841" si="680">IF(F840=0,"",J840*I840)</f>
        <v/>
      </c>
      <c r="L840" s="36" t="str">
        <f t="shared" si="579"/>
        <v/>
      </c>
      <c r="M840" s="37"/>
      <c r="N840" s="37" t="str">
        <f t="shared" si="656"/>
        <v/>
      </c>
      <c r="O840" s="35" t="str">
        <f t="shared" si="657"/>
        <v/>
      </c>
      <c r="P840" s="38" t="str">
        <f t="shared" si="658"/>
        <v/>
      </c>
      <c r="Q840" s="2"/>
    </row>
    <row r="841" spans="1:17" x14ac:dyDescent="0.25">
      <c r="A841" s="122" t="str">
        <f>IF(TRIM(G841)&lt;&gt;"",COUNTA(G$7:$G841)&amp;"","")</f>
        <v/>
      </c>
      <c r="B841" s="123"/>
      <c r="C841" s="123"/>
      <c r="D841" s="222"/>
      <c r="E841" s="223" t="s">
        <v>978</v>
      </c>
      <c r="F841" s="224"/>
      <c r="G841" s="125"/>
      <c r="H841" s="33" t="str">
        <f t="shared" ref="H841" si="681">IF(F841=0,"",0)</f>
        <v/>
      </c>
      <c r="I841" s="82" t="str">
        <f t="shared" si="679"/>
        <v/>
      </c>
      <c r="J841" s="34"/>
      <c r="K841" s="35" t="str">
        <f t="shared" si="680"/>
        <v/>
      </c>
      <c r="L841" s="36" t="str">
        <f t="shared" si="579"/>
        <v/>
      </c>
      <c r="M841" s="37"/>
      <c r="N841" s="37" t="str">
        <f t="shared" si="656"/>
        <v/>
      </c>
      <c r="O841" s="35" t="str">
        <f t="shared" si="657"/>
        <v/>
      </c>
      <c r="P841" s="38" t="str">
        <f t="shared" si="658"/>
        <v/>
      </c>
      <c r="Q841" s="2"/>
    </row>
    <row r="842" spans="1:17" x14ac:dyDescent="0.25">
      <c r="A842" s="122" t="str">
        <f>IF(TRIM(G842)&lt;&gt;"",COUNTA(G$7:$G842)&amp;"","")</f>
        <v>687</v>
      </c>
      <c r="B842" s="123"/>
      <c r="C842" s="123"/>
      <c r="D842" s="222"/>
      <c r="E842" s="104" t="s">
        <v>979</v>
      </c>
      <c r="F842" s="224">
        <v>90</v>
      </c>
      <c r="G842" s="125" t="s">
        <v>250</v>
      </c>
      <c r="H842" s="33">
        <v>0</v>
      </c>
      <c r="I842" s="82">
        <f>IF(F842=0,"",F842+(F842*H842))</f>
        <v>90</v>
      </c>
      <c r="J842" s="34">
        <v>6.25</v>
      </c>
      <c r="K842" s="35">
        <f>IF(F842=0,"",J842*I842)</f>
        <v>562.5</v>
      </c>
      <c r="L842" s="36">
        <f t="shared" si="579"/>
        <v>83</v>
      </c>
      <c r="M842" s="37">
        <v>0.09</v>
      </c>
      <c r="N842" s="37">
        <f>IF(F842=0,"",M842*I842)</f>
        <v>8.1</v>
      </c>
      <c r="O842" s="35">
        <f>IF(F842=0,"",N842*L842)</f>
        <v>672.3</v>
      </c>
      <c r="P842" s="38">
        <f>IF(F842=0,"",K842+O842)</f>
        <v>1234.8</v>
      </c>
      <c r="Q842" s="2"/>
    </row>
    <row r="843" spans="1:17" x14ac:dyDescent="0.25">
      <c r="A843" s="122" t="str">
        <f>IF(TRIM(G843)&lt;&gt;"",COUNTA(G$7:$G843)&amp;"","")</f>
        <v>688</v>
      </c>
      <c r="B843" s="123"/>
      <c r="C843" s="123"/>
      <c r="D843" s="222"/>
      <c r="E843" s="104" t="s">
        <v>980</v>
      </c>
      <c r="F843" s="224">
        <v>90</v>
      </c>
      <c r="G843" s="125" t="s">
        <v>250</v>
      </c>
      <c r="H843" s="33">
        <v>0</v>
      </c>
      <c r="I843" s="82">
        <f t="shared" ref="I843:I844" si="682">IF(F843=0,"",F843+(F843*H843))</f>
        <v>90</v>
      </c>
      <c r="J843" s="34">
        <v>4.2300000000000004</v>
      </c>
      <c r="K843" s="35">
        <f t="shared" ref="K843:K844" si="683">IF(F843=0,"",J843*I843)</f>
        <v>380.70000000000005</v>
      </c>
      <c r="L843" s="36">
        <f t="shared" si="579"/>
        <v>83</v>
      </c>
      <c r="M843" s="37">
        <v>7.0000000000000007E-2</v>
      </c>
      <c r="N843" s="37">
        <f t="shared" ref="N843:N844" si="684">IF(F843=0,"",M843*I843)</f>
        <v>6.3000000000000007</v>
      </c>
      <c r="O843" s="35">
        <f t="shared" ref="O843:O844" si="685">IF(F843=0,"",N843*L843)</f>
        <v>522.90000000000009</v>
      </c>
      <c r="P843" s="38">
        <f t="shared" ref="P843:P844" si="686">IF(F843=0,"",K843+O843)</f>
        <v>903.60000000000014</v>
      </c>
      <c r="Q843" s="2"/>
    </row>
    <row r="844" spans="1:17" x14ac:dyDescent="0.25">
      <c r="A844" s="122" t="str">
        <f>IF(TRIM(G844)&lt;&gt;"",COUNTA(G$7:$G844)&amp;"","")</f>
        <v>689</v>
      </c>
      <c r="B844" s="123"/>
      <c r="C844" s="123"/>
      <c r="D844" s="222"/>
      <c r="E844" s="104" t="s">
        <v>981</v>
      </c>
      <c r="F844" s="224">
        <v>90</v>
      </c>
      <c r="G844" s="125" t="s">
        <v>250</v>
      </c>
      <c r="H844" s="33">
        <v>0</v>
      </c>
      <c r="I844" s="82">
        <f t="shared" si="682"/>
        <v>90</v>
      </c>
      <c r="J844" s="34">
        <v>4.67</v>
      </c>
      <c r="K844" s="35">
        <f t="shared" si="683"/>
        <v>420.3</v>
      </c>
      <c r="L844" s="36">
        <f t="shared" si="579"/>
        <v>83</v>
      </c>
      <c r="M844" s="37">
        <v>0.08</v>
      </c>
      <c r="N844" s="37">
        <f t="shared" si="684"/>
        <v>7.2</v>
      </c>
      <c r="O844" s="35">
        <f t="shared" si="685"/>
        <v>597.6</v>
      </c>
      <c r="P844" s="38">
        <f t="shared" si="686"/>
        <v>1017.9000000000001</v>
      </c>
      <c r="Q844" s="2"/>
    </row>
    <row r="845" spans="1:17" x14ac:dyDescent="0.25">
      <c r="A845" s="122" t="str">
        <f>IF(TRIM(G845)&lt;&gt;"",COUNTA(G$7:$G845)&amp;"","")</f>
        <v>690</v>
      </c>
      <c r="B845" s="123"/>
      <c r="C845" s="123"/>
      <c r="D845" s="222"/>
      <c r="E845" s="239" t="s">
        <v>982</v>
      </c>
      <c r="F845" s="224">
        <v>20</v>
      </c>
      <c r="G845" s="125" t="s">
        <v>232</v>
      </c>
      <c r="H845" s="33">
        <v>0</v>
      </c>
      <c r="I845" s="82">
        <f>IF(F845=0,"",F845+(F845*H845))</f>
        <v>20</v>
      </c>
      <c r="J845" s="34">
        <v>0</v>
      </c>
      <c r="K845" s="35">
        <f>IF(F845=0,"",J845*I845)</f>
        <v>0</v>
      </c>
      <c r="L845" s="36">
        <f t="shared" si="579"/>
        <v>83</v>
      </c>
      <c r="M845" s="37">
        <v>0.81</v>
      </c>
      <c r="N845" s="37">
        <f>IF(F845=0,"",M845*I845)</f>
        <v>16.200000000000003</v>
      </c>
      <c r="O845" s="35">
        <f>IF(F845=0,"",N845*L845)</f>
        <v>1344.6000000000001</v>
      </c>
      <c r="P845" s="38">
        <f>IF(F845=0,"",K845+O845)</f>
        <v>1344.6000000000001</v>
      </c>
      <c r="Q845" s="2"/>
    </row>
    <row r="846" spans="1:17" ht="15.75" thickBot="1" x14ac:dyDescent="0.3">
      <c r="A846" s="122" t="str">
        <f>IF(TRIM(G846)&lt;&gt;"",COUNTA(G$9:$G846)&amp;"","")</f>
        <v/>
      </c>
      <c r="B846" s="126"/>
      <c r="C846" s="126"/>
      <c r="D846" s="50"/>
      <c r="E846" s="127"/>
      <c r="F846" s="124"/>
      <c r="G846" s="125"/>
      <c r="H846" s="33" t="str">
        <f t="shared" ref="H846" si="687">IF(F846=0,"",0)</f>
        <v/>
      </c>
      <c r="I846" s="82" t="str">
        <f t="shared" ref="I846" si="688">IF(F846=0,"",F846+(F846*H846))</f>
        <v/>
      </c>
      <c r="J846" s="34" t="str">
        <f t="shared" ref="J846" si="689">IF(F846=0,"",0)</f>
        <v/>
      </c>
      <c r="K846" s="35" t="str">
        <f t="shared" ref="K846" si="690">IF(F846=0,"",J846*I846)</f>
        <v/>
      </c>
      <c r="L846" s="36" t="str">
        <f t="shared" si="579"/>
        <v/>
      </c>
      <c r="M846" s="37" t="str">
        <f t="shared" ref="M846" si="691">IF(F846=0,"",0)</f>
        <v/>
      </c>
      <c r="N846" s="37" t="str">
        <f t="shared" ref="N846" si="692">IF(F846=0,"",M846*I846)</f>
        <v/>
      </c>
      <c r="O846" s="35" t="str">
        <f t="shared" ref="O846" si="693">IF(F846=0,"",N846*L846)</f>
        <v/>
      </c>
      <c r="P846" s="38" t="str">
        <f t="shared" ref="P846" si="694">IF(F846=0,"",K846+O846)</f>
        <v/>
      </c>
      <c r="Q846" s="2"/>
    </row>
    <row r="847" spans="1:17" s="3" customFormat="1" ht="16.5" thickBot="1" x14ac:dyDescent="0.3">
      <c r="A847" s="122" t="str">
        <f>IF(TRIM(G847)&lt;&gt;"",COUNTA(G$9:$G847)&amp;"","")</f>
        <v/>
      </c>
      <c r="B847" s="53"/>
      <c r="C847" s="53"/>
      <c r="D847" s="54"/>
      <c r="E847" s="29"/>
      <c r="F847" s="124"/>
      <c r="G847" s="129"/>
      <c r="H847" s="151" t="s">
        <v>12</v>
      </c>
      <c r="I847" s="152"/>
      <c r="J847" s="68">
        <f>SUM(K$637:K$846)</f>
        <v>73301.07441999999</v>
      </c>
      <c r="K847" s="390" t="s">
        <v>13</v>
      </c>
      <c r="L847" s="391"/>
      <c r="M847" s="69">
        <f>SUM(O$637:O$846)</f>
        <v>117494.24041400004</v>
      </c>
      <c r="N847" s="390" t="s">
        <v>43</v>
      </c>
      <c r="O847" s="391"/>
      <c r="P847" s="70">
        <f>SUM(N$637:N$846)</f>
        <v>1415.5932579999992</v>
      </c>
      <c r="Q847" s="71">
        <f>SUM(P$637:P$846)</f>
        <v>190795.31483399993</v>
      </c>
    </row>
    <row r="848" spans="1:17" ht="20.100000000000001" customHeight="1" x14ac:dyDescent="0.25">
      <c r="A848" s="153" t="str">
        <f>IF(TRIM(G848)&lt;&gt;"",COUNTA(G$9:$G848)&amp;"","")</f>
        <v/>
      </c>
      <c r="B848" s="31"/>
      <c r="C848" s="162" t="s">
        <v>192</v>
      </c>
      <c r="D848" s="154" t="s">
        <v>208</v>
      </c>
      <c r="E848" s="154" t="s">
        <v>241</v>
      </c>
      <c r="F848" s="78"/>
      <c r="G848" s="79"/>
      <c r="H848" s="31"/>
      <c r="I848" s="79"/>
      <c r="J848" s="31"/>
      <c r="K848" s="31"/>
      <c r="L848" s="31"/>
      <c r="M848" s="31"/>
      <c r="N848" s="31"/>
      <c r="O848" s="31"/>
      <c r="P848" s="31"/>
      <c r="Q848" s="155"/>
    </row>
    <row r="849" spans="1:17" x14ac:dyDescent="0.25">
      <c r="A849" s="122" t="str">
        <f>IF(TRIM(G849)&lt;&gt;"",COUNTA(G$9:$G849)&amp;"","")</f>
        <v/>
      </c>
      <c r="B849" s="123"/>
      <c r="C849" s="123"/>
      <c r="D849" s="50"/>
      <c r="E849" s="89"/>
      <c r="F849" s="124"/>
      <c r="G849" s="125"/>
      <c r="H849" s="33" t="str">
        <f t="shared" ref="H849:H953" si="695">IF(F849=0,"",0)</f>
        <v/>
      </c>
      <c r="I849" s="82" t="str">
        <f t="shared" ref="I849:I953" si="696">IF(F849=0,"",F849+(F849*H849))</f>
        <v/>
      </c>
      <c r="J849" s="34" t="str">
        <f t="shared" ref="J849:J953" si="697">IF(F849=0,"",0)</f>
        <v/>
      </c>
      <c r="K849" s="35" t="str">
        <f t="shared" ref="K849:K953" si="698">IF(F849=0,"",J849*I849)</f>
        <v/>
      </c>
      <c r="L849" s="36" t="str">
        <f t="shared" ref="L849:L953" si="699">IF(F849=0,"",L$583)</f>
        <v/>
      </c>
      <c r="M849" s="37" t="str">
        <f t="shared" ref="M849:M953" si="700">IF(F849=0,"",0)</f>
        <v/>
      </c>
      <c r="N849" s="37" t="str">
        <f t="shared" ref="N849:N953" si="701">IF(F849=0,"",M849*I849)</f>
        <v/>
      </c>
      <c r="O849" s="35" t="str">
        <f t="shared" ref="O849:O953" si="702">IF(F849=0,"",N849*L849)</f>
        <v/>
      </c>
      <c r="P849" s="38" t="str">
        <f t="shared" ref="P849:P953" si="703">IF(F849=0,"",K849+O849)</f>
        <v/>
      </c>
      <c r="Q849" s="2"/>
    </row>
    <row r="850" spans="1:17" x14ac:dyDescent="0.25">
      <c r="A850" s="122" t="str">
        <f>IF(TRIM(G850)&lt;&gt;"",COUNTA(G$7:$G850)&amp;"","")</f>
        <v/>
      </c>
      <c r="B850" s="123"/>
      <c r="C850" s="123"/>
      <c r="D850" s="222"/>
      <c r="E850" s="223" t="s">
        <v>983</v>
      </c>
      <c r="F850" s="224"/>
      <c r="G850" s="125"/>
      <c r="H850" s="33" t="str">
        <f t="shared" si="695"/>
        <v/>
      </c>
      <c r="I850" s="82" t="str">
        <f t="shared" si="696"/>
        <v/>
      </c>
      <c r="J850" s="34"/>
      <c r="K850" s="35" t="str">
        <f t="shared" si="698"/>
        <v/>
      </c>
      <c r="L850" s="36" t="str">
        <f t="shared" si="699"/>
        <v/>
      </c>
      <c r="M850" s="37" t="str">
        <f t="shared" si="700"/>
        <v/>
      </c>
      <c r="N850" s="37" t="str">
        <f t="shared" si="701"/>
        <v/>
      </c>
      <c r="O850" s="35" t="str">
        <f t="shared" si="702"/>
        <v/>
      </c>
      <c r="P850" s="38" t="str">
        <f t="shared" si="703"/>
        <v/>
      </c>
      <c r="Q850" s="2"/>
    </row>
    <row r="851" spans="1:17" x14ac:dyDescent="0.25">
      <c r="A851" s="122" t="str">
        <f>IF(TRIM(G851)&lt;&gt;"",COUNTA(G$7:$G851)&amp;"","")</f>
        <v/>
      </c>
      <c r="B851" s="123"/>
      <c r="C851" s="123"/>
      <c r="D851" s="222"/>
      <c r="E851" s="226" t="s">
        <v>984</v>
      </c>
      <c r="F851" s="224"/>
      <c r="G851" s="125"/>
      <c r="H851" s="33" t="str">
        <f t="shared" si="695"/>
        <v/>
      </c>
      <c r="I851" s="82" t="str">
        <f t="shared" si="696"/>
        <v/>
      </c>
      <c r="J851" s="34"/>
      <c r="K851" s="35" t="str">
        <f t="shared" si="698"/>
        <v/>
      </c>
      <c r="L851" s="36" t="str">
        <f t="shared" si="699"/>
        <v/>
      </c>
      <c r="M851" s="37"/>
      <c r="N851" s="37" t="str">
        <f t="shared" si="701"/>
        <v/>
      </c>
      <c r="O851" s="35" t="str">
        <f t="shared" si="702"/>
        <v/>
      </c>
      <c r="P851" s="38" t="str">
        <f t="shared" si="703"/>
        <v/>
      </c>
      <c r="Q851" s="2"/>
    </row>
    <row r="852" spans="1:17" x14ac:dyDescent="0.25">
      <c r="A852" s="122" t="str">
        <f>IF(TRIM(G852)&lt;&gt;"",COUNTA(G$7:$G852)&amp;"","")</f>
        <v>691</v>
      </c>
      <c r="B852" s="240"/>
      <c r="C852" s="123"/>
      <c r="D852" s="222"/>
      <c r="E852" s="220" t="s">
        <v>985</v>
      </c>
      <c r="F852" s="224">
        <v>13.02</v>
      </c>
      <c r="G852" s="125" t="s">
        <v>228</v>
      </c>
      <c r="H852" s="33">
        <v>0.1</v>
      </c>
      <c r="I852" s="82">
        <f t="shared" si="696"/>
        <v>14.321999999999999</v>
      </c>
      <c r="J852" s="34">
        <v>6.04</v>
      </c>
      <c r="K852" s="35">
        <f t="shared" si="698"/>
        <v>86.50488</v>
      </c>
      <c r="L852" s="36">
        <f t="shared" si="699"/>
        <v>83</v>
      </c>
      <c r="M852" s="37">
        <v>4.3999999999999997E-2</v>
      </c>
      <c r="N852" s="37">
        <f t="shared" si="701"/>
        <v>0.63016799999999995</v>
      </c>
      <c r="O852" s="35">
        <f t="shared" si="702"/>
        <v>52.303943999999994</v>
      </c>
      <c r="P852" s="38">
        <f t="shared" si="703"/>
        <v>138.80882399999999</v>
      </c>
      <c r="Q852" s="2"/>
    </row>
    <row r="853" spans="1:17" x14ac:dyDescent="0.25">
      <c r="A853" s="122" t="str">
        <f>IF(TRIM(G853)&lt;&gt;"",COUNTA(G$7:$G853)&amp;"","")</f>
        <v>692</v>
      </c>
      <c r="B853" s="123"/>
      <c r="C853" s="123"/>
      <c r="D853" s="222"/>
      <c r="E853" s="104" t="s">
        <v>986</v>
      </c>
      <c r="F853" s="224">
        <v>4.8600000000000003</v>
      </c>
      <c r="G853" s="125" t="s">
        <v>228</v>
      </c>
      <c r="H853" s="33">
        <v>0.1</v>
      </c>
      <c r="I853" s="82">
        <f>IF(F853=0,"",F853+(F853*H853))</f>
        <v>5.3460000000000001</v>
      </c>
      <c r="J853" s="34">
        <v>8.59</v>
      </c>
      <c r="K853" s="35">
        <f>IF(F853=0,"",J853*I853)</f>
        <v>45.922139999999999</v>
      </c>
      <c r="L853" s="36">
        <f t="shared" si="699"/>
        <v>83</v>
      </c>
      <c r="M853" s="37">
        <v>5.7000000000000002E-2</v>
      </c>
      <c r="N853" s="37">
        <f>IF(F853=0,"",M853*I853)</f>
        <v>0.30472199999999999</v>
      </c>
      <c r="O853" s="35">
        <f>IF(F853=0,"",N853*L853)</f>
        <v>25.291926</v>
      </c>
      <c r="P853" s="38">
        <f>IF(F853=0,"",K853+O853)</f>
        <v>71.214066000000003</v>
      </c>
      <c r="Q853" s="2"/>
    </row>
    <row r="854" spans="1:17" x14ac:dyDescent="0.25">
      <c r="A854" s="122" t="str">
        <f>IF(TRIM(G854)&lt;&gt;"",COUNTA(G$7:$G854)&amp;"","")</f>
        <v>693</v>
      </c>
      <c r="B854" s="240"/>
      <c r="C854" s="123"/>
      <c r="D854" s="222"/>
      <c r="E854" s="104" t="s">
        <v>987</v>
      </c>
      <c r="F854" s="224">
        <v>90.72</v>
      </c>
      <c r="G854" s="125" t="s">
        <v>228</v>
      </c>
      <c r="H854" s="33">
        <v>0.1</v>
      </c>
      <c r="I854" s="82">
        <f t="shared" ref="I854" si="704">IF(F854=0,"",F854+(F854*H854))</f>
        <v>99.792000000000002</v>
      </c>
      <c r="J854" s="34">
        <v>8.59</v>
      </c>
      <c r="K854" s="35">
        <f t="shared" ref="K854" si="705">IF(F854=0,"",J854*I854)</f>
        <v>857.21328000000005</v>
      </c>
      <c r="L854" s="36">
        <f t="shared" si="699"/>
        <v>83</v>
      </c>
      <c r="M854" s="37">
        <v>5.7000000000000002E-2</v>
      </c>
      <c r="N854" s="37">
        <f t="shared" ref="N854" si="706">IF(F854=0,"",M854*I854)</f>
        <v>5.6881440000000003</v>
      </c>
      <c r="O854" s="35">
        <f t="shared" ref="O854" si="707">IF(F854=0,"",N854*L854)</f>
        <v>472.11595200000005</v>
      </c>
      <c r="P854" s="38">
        <f t="shared" ref="P854" si="708">IF(F854=0,"",K854+O854)</f>
        <v>1329.329232</v>
      </c>
      <c r="Q854" s="2"/>
    </row>
    <row r="855" spans="1:17" x14ac:dyDescent="0.25">
      <c r="A855" s="122" t="str">
        <f>IF(TRIM(G855)&lt;&gt;"",COUNTA(G$7:$G855)&amp;"","")</f>
        <v>694</v>
      </c>
      <c r="B855" s="123"/>
      <c r="C855" s="123"/>
      <c r="D855" s="222"/>
      <c r="E855" s="220" t="s">
        <v>988</v>
      </c>
      <c r="F855" s="224">
        <v>100.65</v>
      </c>
      <c r="G855" s="125" t="s">
        <v>228</v>
      </c>
      <c r="H855" s="33">
        <v>0.1</v>
      </c>
      <c r="I855" s="82">
        <f>IF(F855=0,"",F855+(F855*H855))</f>
        <v>110.715</v>
      </c>
      <c r="J855" s="34">
        <v>9.74</v>
      </c>
      <c r="K855" s="35">
        <f>IF(F855=0,"",J855*I855)</f>
        <v>1078.3641</v>
      </c>
      <c r="L855" s="36">
        <f t="shared" si="699"/>
        <v>83</v>
      </c>
      <c r="M855" s="37">
        <v>0.08</v>
      </c>
      <c r="N855" s="37">
        <f>IF(F855=0,"",M855*I855)</f>
        <v>8.8572000000000006</v>
      </c>
      <c r="O855" s="35">
        <f>IF(F855=0,"",N855*L855)</f>
        <v>735.14760000000001</v>
      </c>
      <c r="P855" s="38">
        <f>IF(F855=0,"",K855+O855)</f>
        <v>1813.5117</v>
      </c>
      <c r="Q855" s="2"/>
    </row>
    <row r="856" spans="1:17" x14ac:dyDescent="0.25">
      <c r="A856" s="122" t="str">
        <f>IF(TRIM(G856)&lt;&gt;"",COUNTA(G$7:$G856)&amp;"","")</f>
        <v>695</v>
      </c>
      <c r="B856" s="240"/>
      <c r="C856" s="123"/>
      <c r="D856" s="222"/>
      <c r="E856" s="220" t="s">
        <v>989</v>
      </c>
      <c r="F856" s="224">
        <v>15.66</v>
      </c>
      <c r="G856" s="125" t="s">
        <v>228</v>
      </c>
      <c r="H856" s="33">
        <v>0.1</v>
      </c>
      <c r="I856" s="82">
        <f t="shared" ref="I856:I857" si="709">IF(F856=0,"",F856+(F856*H856))</f>
        <v>17.225999999999999</v>
      </c>
      <c r="J856" s="34">
        <v>12.09</v>
      </c>
      <c r="K856" s="35">
        <f t="shared" ref="K856:K857" si="710">IF(F856=0,"",J856*I856)</f>
        <v>208.26233999999999</v>
      </c>
      <c r="L856" s="36">
        <f t="shared" si="699"/>
        <v>83</v>
      </c>
      <c r="M856" s="37">
        <v>0.1</v>
      </c>
      <c r="N856" s="37">
        <f t="shared" ref="N856:N857" si="711">IF(F856=0,"",M856*I856)</f>
        <v>1.7225999999999999</v>
      </c>
      <c r="O856" s="35">
        <f t="shared" ref="O856:O857" si="712">IF(F856=0,"",N856*L856)</f>
        <v>142.97579999999999</v>
      </c>
      <c r="P856" s="38">
        <f t="shared" ref="P856:P857" si="713">IF(F856=0,"",K856+O856)</f>
        <v>351.23813999999999</v>
      </c>
      <c r="Q856" s="2"/>
    </row>
    <row r="857" spans="1:17" x14ac:dyDescent="0.25">
      <c r="A857" s="122" t="str">
        <f>IF(TRIM(G857)&lt;&gt;"",COUNTA(G$7:$G857)&amp;"","")</f>
        <v>696</v>
      </c>
      <c r="B857" s="240"/>
      <c r="C857" s="123"/>
      <c r="D857" s="222"/>
      <c r="E857" s="220" t="s">
        <v>990</v>
      </c>
      <c r="F857" s="224">
        <v>8.06</v>
      </c>
      <c r="G857" s="125" t="s">
        <v>228</v>
      </c>
      <c r="H857" s="33">
        <v>0.1</v>
      </c>
      <c r="I857" s="82">
        <f t="shared" si="709"/>
        <v>8.8659999999999997</v>
      </c>
      <c r="J857" s="34">
        <v>13.39</v>
      </c>
      <c r="K857" s="35">
        <f t="shared" si="710"/>
        <v>118.71574</v>
      </c>
      <c r="L857" s="36">
        <f t="shared" si="699"/>
        <v>83</v>
      </c>
      <c r="M857" s="37">
        <v>0.13300000000000001</v>
      </c>
      <c r="N857" s="37">
        <f t="shared" si="711"/>
        <v>1.1791780000000001</v>
      </c>
      <c r="O857" s="35">
        <f t="shared" si="712"/>
        <v>97.871774000000002</v>
      </c>
      <c r="P857" s="38">
        <f t="shared" si="713"/>
        <v>216.587514</v>
      </c>
      <c r="Q857" s="2"/>
    </row>
    <row r="858" spans="1:17" x14ac:dyDescent="0.25">
      <c r="A858" s="122" t="str">
        <f>IF(TRIM(G858)&lt;&gt;"",COUNTA(G$7:$G858)&amp;"","")</f>
        <v>697</v>
      </c>
      <c r="B858" s="123"/>
      <c r="C858" s="123"/>
      <c r="D858" s="222"/>
      <c r="E858" s="104" t="s">
        <v>991</v>
      </c>
      <c r="F858" s="224">
        <v>104.53</v>
      </c>
      <c r="G858" s="125" t="s">
        <v>228</v>
      </c>
      <c r="H858" s="33">
        <v>0.1</v>
      </c>
      <c r="I858" s="82">
        <f>IF(F858=0,"",F858+(F858*H858))</f>
        <v>114.983</v>
      </c>
      <c r="J858" s="34">
        <v>15.53</v>
      </c>
      <c r="K858" s="35">
        <f>IF(F858=0,"",J858*I858)</f>
        <v>1785.6859899999999</v>
      </c>
      <c r="L858" s="36">
        <f t="shared" si="699"/>
        <v>83</v>
      </c>
      <c r="M858" s="37">
        <v>0.2</v>
      </c>
      <c r="N858" s="37">
        <f>IF(F858=0,"",M858*I858)</f>
        <v>22.996600000000001</v>
      </c>
      <c r="O858" s="35">
        <f>IF(F858=0,"",N858*L858)</f>
        <v>1908.7178000000001</v>
      </c>
      <c r="P858" s="38">
        <f>IF(F858=0,"",K858+O858)</f>
        <v>3694.4037900000003</v>
      </c>
      <c r="Q858" s="2"/>
    </row>
    <row r="859" spans="1:17" x14ac:dyDescent="0.25">
      <c r="A859" s="122" t="str">
        <f>IF(TRIM(G859)&lt;&gt;"",COUNTA(G$7:$G859)&amp;"","")</f>
        <v>698</v>
      </c>
      <c r="B859" s="240"/>
      <c r="C859" s="123"/>
      <c r="D859" s="222"/>
      <c r="E859" s="104" t="s">
        <v>992</v>
      </c>
      <c r="F859" s="224">
        <v>89.03</v>
      </c>
      <c r="G859" s="125" t="s">
        <v>228</v>
      </c>
      <c r="H859" s="33">
        <v>0.1</v>
      </c>
      <c r="I859" s="82">
        <f t="shared" ref="I859" si="714">IF(F859=0,"",F859+(F859*H859))</f>
        <v>97.933000000000007</v>
      </c>
      <c r="J859" s="34">
        <v>15.53</v>
      </c>
      <c r="K859" s="35">
        <f t="shared" ref="K859" si="715">IF(F859=0,"",J859*I859)</f>
        <v>1520.89949</v>
      </c>
      <c r="L859" s="36">
        <f t="shared" si="699"/>
        <v>83</v>
      </c>
      <c r="M859" s="37">
        <v>0.2</v>
      </c>
      <c r="N859" s="37">
        <f t="shared" ref="N859" si="716">IF(F859=0,"",M859*I859)</f>
        <v>19.586600000000004</v>
      </c>
      <c r="O859" s="35">
        <f t="shared" ref="O859" si="717">IF(F859=0,"",N859*L859)</f>
        <v>1625.6878000000004</v>
      </c>
      <c r="P859" s="38">
        <f t="shared" ref="P859" si="718">IF(F859=0,"",K859+O859)</f>
        <v>3146.5872900000004</v>
      </c>
      <c r="Q859" s="2"/>
    </row>
    <row r="860" spans="1:17" x14ac:dyDescent="0.25">
      <c r="A860" s="122" t="str">
        <f>IF(TRIM(G860)&lt;&gt;"",COUNTA(G$7:$G860)&amp;"","")</f>
        <v>699</v>
      </c>
      <c r="B860" s="123"/>
      <c r="C860" s="123"/>
      <c r="D860" s="222"/>
      <c r="E860" s="220" t="s">
        <v>993</v>
      </c>
      <c r="F860" s="224">
        <v>19.25</v>
      </c>
      <c r="G860" s="125" t="s">
        <v>228</v>
      </c>
      <c r="H860" s="33">
        <v>0.1</v>
      </c>
      <c r="I860" s="82">
        <f>IF(F860=0,"",F860+(F860*H860))</f>
        <v>21.175000000000001</v>
      </c>
      <c r="J860" s="34">
        <v>21.98</v>
      </c>
      <c r="K860" s="35">
        <f>IF(F860=0,"",J860*I860)</f>
        <v>465.42650000000003</v>
      </c>
      <c r="L860" s="36">
        <f t="shared" si="699"/>
        <v>83</v>
      </c>
      <c r="M860" s="37">
        <v>0.26700000000000002</v>
      </c>
      <c r="N860" s="37">
        <f>IF(F860=0,"",M860*I860)</f>
        <v>5.6537250000000006</v>
      </c>
      <c r="O860" s="35">
        <f>IF(F860=0,"",N860*L860)</f>
        <v>469.25917500000003</v>
      </c>
      <c r="P860" s="38">
        <f>IF(F860=0,"",K860+O860)</f>
        <v>934.68567500000006</v>
      </c>
      <c r="Q860" s="2"/>
    </row>
    <row r="861" spans="1:17" x14ac:dyDescent="0.25">
      <c r="A861" s="122" t="str">
        <f>IF(TRIM(G861)&lt;&gt;"",COUNTA(G$7:$G861)&amp;"","")</f>
        <v>700</v>
      </c>
      <c r="B861" s="240"/>
      <c r="C861" s="123"/>
      <c r="D861" s="222"/>
      <c r="E861" s="220" t="s">
        <v>994</v>
      </c>
      <c r="F861" s="224">
        <v>26.99</v>
      </c>
      <c r="G861" s="125" t="s">
        <v>228</v>
      </c>
      <c r="H861" s="33">
        <v>0.1</v>
      </c>
      <c r="I861" s="82">
        <f t="shared" ref="I861:I865" si="719">IF(F861=0,"",F861+(F861*H861))</f>
        <v>29.689</v>
      </c>
      <c r="J861" s="34">
        <v>21.98</v>
      </c>
      <c r="K861" s="35">
        <f t="shared" ref="K861:K863" si="720">IF(F861=0,"",J861*I861)</f>
        <v>652.56421999999998</v>
      </c>
      <c r="L861" s="36">
        <f t="shared" si="699"/>
        <v>83</v>
      </c>
      <c r="M861" s="37">
        <v>0.26700000000000002</v>
      </c>
      <c r="N861" s="37">
        <f t="shared" ref="N861:N863" si="721">IF(F861=0,"",M861*I861)</f>
        <v>7.9269630000000006</v>
      </c>
      <c r="O861" s="35">
        <f t="shared" ref="O861:O865" si="722">IF(F861=0,"",N861*L861)</f>
        <v>657.93792900000005</v>
      </c>
      <c r="P861" s="38">
        <f t="shared" ref="P861:P865" si="723">IF(F861=0,"",K861+O861)</f>
        <v>1310.5021489999999</v>
      </c>
      <c r="Q861" s="2"/>
    </row>
    <row r="862" spans="1:17" x14ac:dyDescent="0.25">
      <c r="A862" s="122" t="str">
        <f>IF(TRIM(G862)&lt;&gt;"",COUNTA(G$7:$G862)&amp;"","")</f>
        <v>701</v>
      </c>
      <c r="B862" s="240"/>
      <c r="C862" s="123"/>
      <c r="D862" s="222"/>
      <c r="E862" s="220" t="s">
        <v>995</v>
      </c>
      <c r="F862" s="224">
        <v>182.53</v>
      </c>
      <c r="G862" s="125" t="s">
        <v>228</v>
      </c>
      <c r="H862" s="33">
        <v>0.1</v>
      </c>
      <c r="I862" s="82">
        <f t="shared" si="719"/>
        <v>200.78300000000002</v>
      </c>
      <c r="J862" s="34">
        <v>27.97</v>
      </c>
      <c r="K862" s="35">
        <f t="shared" si="720"/>
        <v>5615.9005100000004</v>
      </c>
      <c r="L862" s="36">
        <f t="shared" si="699"/>
        <v>83</v>
      </c>
      <c r="M862" s="37">
        <v>0.32</v>
      </c>
      <c r="N862" s="37">
        <f t="shared" si="721"/>
        <v>64.250560000000007</v>
      </c>
      <c r="O862" s="35">
        <f t="shared" si="722"/>
        <v>5332.7964800000009</v>
      </c>
      <c r="P862" s="38">
        <f t="shared" si="723"/>
        <v>10948.69699</v>
      </c>
      <c r="Q862" s="2"/>
    </row>
    <row r="863" spans="1:17" x14ac:dyDescent="0.25">
      <c r="A863" s="122" t="str">
        <f>IF(TRIM(G863)&lt;&gt;"",COUNTA(G$7:$G863)&amp;"","")</f>
        <v>702</v>
      </c>
      <c r="B863" s="240"/>
      <c r="C863" s="123"/>
      <c r="D863" s="222"/>
      <c r="E863" s="220" t="s">
        <v>996</v>
      </c>
      <c r="F863" s="224">
        <v>15.49</v>
      </c>
      <c r="G863" s="125" t="s">
        <v>228</v>
      </c>
      <c r="H863" s="33">
        <v>0.1</v>
      </c>
      <c r="I863" s="82">
        <f t="shared" si="719"/>
        <v>17.039000000000001</v>
      </c>
      <c r="J863" s="34">
        <v>30.93</v>
      </c>
      <c r="K863" s="35">
        <f t="shared" si="720"/>
        <v>527.01627000000008</v>
      </c>
      <c r="L863" s="36">
        <f t="shared" si="699"/>
        <v>83</v>
      </c>
      <c r="M863" s="37">
        <v>0.36899999999999999</v>
      </c>
      <c r="N863" s="37">
        <f t="shared" si="721"/>
        <v>6.2873910000000004</v>
      </c>
      <c r="O863" s="35">
        <f t="shared" si="722"/>
        <v>521.85345300000006</v>
      </c>
      <c r="P863" s="38">
        <f t="shared" si="723"/>
        <v>1048.8697230000002</v>
      </c>
      <c r="Q863" s="2"/>
    </row>
    <row r="864" spans="1:17" x14ac:dyDescent="0.25">
      <c r="A864" s="122" t="str">
        <f>IF(TRIM(G864)&lt;&gt;"",COUNTA(G$7:$G864)&amp;"","")</f>
        <v/>
      </c>
      <c r="B864" s="123"/>
      <c r="C864" s="123"/>
      <c r="D864" s="222"/>
      <c r="E864" s="104"/>
      <c r="F864" s="224"/>
      <c r="G864" s="125"/>
      <c r="H864" s="33"/>
      <c r="I864" s="82" t="str">
        <f t="shared" si="719"/>
        <v/>
      </c>
      <c r="J864" s="34"/>
      <c r="K864" s="35" t="str">
        <f t="shared" si="698"/>
        <v/>
      </c>
      <c r="L864" s="36" t="str">
        <f t="shared" si="699"/>
        <v/>
      </c>
      <c r="M864" s="37"/>
      <c r="N864" s="37" t="str">
        <f t="shared" si="701"/>
        <v/>
      </c>
      <c r="O864" s="35" t="str">
        <f t="shared" si="722"/>
        <v/>
      </c>
      <c r="P864" s="38" t="str">
        <f t="shared" si="723"/>
        <v/>
      </c>
      <c r="Q864" s="2"/>
    </row>
    <row r="865" spans="1:17" x14ac:dyDescent="0.25">
      <c r="A865" s="122" t="str">
        <f>IF(TRIM(G865)&lt;&gt;"",COUNTA(G$7:$G865)&amp;"","")</f>
        <v/>
      </c>
      <c r="B865" s="123"/>
      <c r="C865" s="123"/>
      <c r="D865" s="222"/>
      <c r="E865" s="226" t="s">
        <v>997</v>
      </c>
      <c r="F865" s="224"/>
      <c r="G865" s="125"/>
      <c r="H865" s="33" t="str">
        <f t="shared" ref="H865" si="724">IF(F865=0,"",0)</f>
        <v/>
      </c>
      <c r="I865" s="82" t="str">
        <f t="shared" si="719"/>
        <v/>
      </c>
      <c r="J865" s="34"/>
      <c r="K865" s="35" t="str">
        <f t="shared" si="698"/>
        <v/>
      </c>
      <c r="L865" s="36" t="str">
        <f t="shared" si="699"/>
        <v/>
      </c>
      <c r="M865" s="37"/>
      <c r="N865" s="37" t="str">
        <f t="shared" si="701"/>
        <v/>
      </c>
      <c r="O865" s="35" t="str">
        <f t="shared" si="722"/>
        <v/>
      </c>
      <c r="P865" s="38" t="str">
        <f t="shared" si="723"/>
        <v/>
      </c>
      <c r="Q865" s="2"/>
    </row>
    <row r="866" spans="1:17" x14ac:dyDescent="0.25">
      <c r="A866" s="122" t="str">
        <f>IF(TRIM(G866)&lt;&gt;"",COUNTA(G$7:$G866)&amp;"","")</f>
        <v>703</v>
      </c>
      <c r="B866" s="123"/>
      <c r="C866" s="123"/>
      <c r="D866" s="222"/>
      <c r="E866" s="104" t="s">
        <v>998</v>
      </c>
      <c r="F866" s="224">
        <v>1</v>
      </c>
      <c r="G866" s="125" t="s">
        <v>250</v>
      </c>
      <c r="H866" s="33">
        <v>0</v>
      </c>
      <c r="I866" s="82">
        <f>IF(F866=0,"",F866+(F866*H866))</f>
        <v>1</v>
      </c>
      <c r="J866" s="34">
        <v>31.47</v>
      </c>
      <c r="K866" s="35">
        <f>IF(F866=0,"",J866*I866)</f>
        <v>31.47</v>
      </c>
      <c r="L866" s="36">
        <f t="shared" si="699"/>
        <v>83</v>
      </c>
      <c r="M866" s="37">
        <v>0.26700000000000002</v>
      </c>
      <c r="N866" s="37">
        <f>IF(F866=0,"",M866*I866)</f>
        <v>0.26700000000000002</v>
      </c>
      <c r="O866" s="35">
        <f>IF(F866=0,"",N866*L866)</f>
        <v>22.161000000000001</v>
      </c>
      <c r="P866" s="38">
        <f>IF(F866=0,"",K866+O866)</f>
        <v>53.631</v>
      </c>
      <c r="Q866" s="2"/>
    </row>
    <row r="867" spans="1:17" x14ac:dyDescent="0.25">
      <c r="A867" s="122" t="str">
        <f>IF(TRIM(G867)&lt;&gt;"",COUNTA(G$7:$G867)&amp;"","")</f>
        <v>704</v>
      </c>
      <c r="B867" s="123"/>
      <c r="C867" s="123"/>
      <c r="D867" s="222"/>
      <c r="E867" s="104" t="s">
        <v>999</v>
      </c>
      <c r="F867" s="224">
        <v>6</v>
      </c>
      <c r="G867" s="125" t="s">
        <v>250</v>
      </c>
      <c r="H867" s="33">
        <v>0</v>
      </c>
      <c r="I867" s="82">
        <f t="shared" ref="I867:I883" si="725">IF(F867=0,"",F867+(F867*H867))</f>
        <v>6</v>
      </c>
      <c r="J867" s="34">
        <v>62.94</v>
      </c>
      <c r="K867" s="35">
        <f t="shared" ref="K867" si="726">IF(F867=0,"",J867*I867)</f>
        <v>377.64</v>
      </c>
      <c r="L867" s="36">
        <f t="shared" si="699"/>
        <v>83</v>
      </c>
      <c r="M867" s="37">
        <v>0.57099999999999995</v>
      </c>
      <c r="N867" s="37">
        <f t="shared" ref="N867" si="727">IF(F867=0,"",M867*I867)</f>
        <v>3.4259999999999997</v>
      </c>
      <c r="O867" s="35">
        <f t="shared" ref="O867:O883" si="728">IF(F867=0,"",N867*L867)</f>
        <v>284.358</v>
      </c>
      <c r="P867" s="38">
        <f t="shared" ref="P867:P883" si="729">IF(F867=0,"",K867+O867)</f>
        <v>661.99800000000005</v>
      </c>
      <c r="Q867" s="2"/>
    </row>
    <row r="868" spans="1:17" x14ac:dyDescent="0.25">
      <c r="A868" s="122" t="str">
        <f>IF(TRIM(G868)&lt;&gt;"",COUNTA(G$7:$G868)&amp;"","")</f>
        <v>705</v>
      </c>
      <c r="B868" s="123"/>
      <c r="C868" s="123"/>
      <c r="D868" s="222"/>
      <c r="E868" s="104" t="s">
        <v>1000</v>
      </c>
      <c r="F868" s="224">
        <v>2</v>
      </c>
      <c r="G868" s="125" t="s">
        <v>250</v>
      </c>
      <c r="H868" s="33">
        <v>0</v>
      </c>
      <c r="I868" s="82">
        <f t="shared" si="725"/>
        <v>2</v>
      </c>
      <c r="J868" s="34">
        <v>65.87</v>
      </c>
      <c r="K868" s="35">
        <f>IF(F868=0,"",J868*I868)</f>
        <v>131.74</v>
      </c>
      <c r="L868" s="36">
        <f t="shared" si="699"/>
        <v>83</v>
      </c>
      <c r="M868" s="37">
        <v>1.4550000000000001</v>
      </c>
      <c r="N868" s="37">
        <f>IF(F868=0,"",M868*I868)</f>
        <v>2.91</v>
      </c>
      <c r="O868" s="35">
        <f t="shared" si="728"/>
        <v>241.53</v>
      </c>
      <c r="P868" s="38">
        <f t="shared" si="729"/>
        <v>373.27</v>
      </c>
      <c r="Q868" s="2"/>
    </row>
    <row r="869" spans="1:17" x14ac:dyDescent="0.25">
      <c r="A869" s="122" t="str">
        <f>IF(TRIM(G869)&lt;&gt;"",COUNTA(G$7:$G869)&amp;"","")</f>
        <v>706</v>
      </c>
      <c r="B869" s="123"/>
      <c r="C869" s="123"/>
      <c r="D869" s="222"/>
      <c r="E869" s="104" t="s">
        <v>1001</v>
      </c>
      <c r="F869" s="224">
        <v>5</v>
      </c>
      <c r="G869" s="125" t="s">
        <v>250</v>
      </c>
      <c r="H869" s="33">
        <v>0</v>
      </c>
      <c r="I869" s="82">
        <f t="shared" si="725"/>
        <v>5</v>
      </c>
      <c r="J869" s="34">
        <v>65.87</v>
      </c>
      <c r="K869" s="35">
        <f>IF(F869=0,"",J869*I869)</f>
        <v>329.35</v>
      </c>
      <c r="L869" s="36">
        <f t="shared" si="699"/>
        <v>83</v>
      </c>
      <c r="M869" s="37">
        <v>1.4550000000000001</v>
      </c>
      <c r="N869" s="37">
        <f>IF(F869=0,"",M869*I869)</f>
        <v>7.2750000000000004</v>
      </c>
      <c r="O869" s="35">
        <f t="shared" si="728"/>
        <v>603.82500000000005</v>
      </c>
      <c r="P869" s="38">
        <f t="shared" si="729"/>
        <v>933.17500000000007</v>
      </c>
      <c r="Q869" s="2"/>
    </row>
    <row r="870" spans="1:17" x14ac:dyDescent="0.25">
      <c r="A870" s="122" t="str">
        <f>IF(TRIM(G870)&lt;&gt;"",COUNTA(G$7:$G870)&amp;"","")</f>
        <v>707</v>
      </c>
      <c r="B870" s="123"/>
      <c r="C870" s="123"/>
      <c r="D870" s="222"/>
      <c r="E870" s="104" t="s">
        <v>1002</v>
      </c>
      <c r="F870" s="224">
        <v>2</v>
      </c>
      <c r="G870" s="125" t="s">
        <v>250</v>
      </c>
      <c r="H870" s="33">
        <v>0</v>
      </c>
      <c r="I870" s="82">
        <f t="shared" si="725"/>
        <v>2</v>
      </c>
      <c r="J870" s="34">
        <v>69.69</v>
      </c>
      <c r="K870" s="35">
        <f t="shared" ref="K870" si="730">IF(F870=0,"",J870*I870)</f>
        <v>139.38</v>
      </c>
      <c r="L870" s="36">
        <f t="shared" si="699"/>
        <v>83</v>
      </c>
      <c r="M870" s="37">
        <v>1.6</v>
      </c>
      <c r="N870" s="37">
        <f t="shared" ref="N870" si="731">IF(F870=0,"",M870*I870)</f>
        <v>3.2</v>
      </c>
      <c r="O870" s="35">
        <f t="shared" si="728"/>
        <v>265.60000000000002</v>
      </c>
      <c r="P870" s="38">
        <f t="shared" si="729"/>
        <v>404.98</v>
      </c>
      <c r="Q870" s="2"/>
    </row>
    <row r="871" spans="1:17" x14ac:dyDescent="0.25">
      <c r="A871" s="122" t="str">
        <f>IF(TRIM(G871)&lt;&gt;"",COUNTA(G$7:$G871)&amp;"","")</f>
        <v>708</v>
      </c>
      <c r="B871" s="123"/>
      <c r="C871" s="123"/>
      <c r="D871" s="222"/>
      <c r="E871" s="104" t="s">
        <v>1003</v>
      </c>
      <c r="F871" s="224">
        <v>1</v>
      </c>
      <c r="G871" s="125" t="s">
        <v>250</v>
      </c>
      <c r="H871" s="33">
        <v>0</v>
      </c>
      <c r="I871" s="82">
        <f t="shared" si="725"/>
        <v>1</v>
      </c>
      <c r="J871" s="34">
        <v>69.69</v>
      </c>
      <c r="K871" s="35">
        <f>IF(F871=0,"",J871*I871)</f>
        <v>69.69</v>
      </c>
      <c r="L871" s="36">
        <f t="shared" si="699"/>
        <v>83</v>
      </c>
      <c r="M871" s="37">
        <v>1.6</v>
      </c>
      <c r="N871" s="37">
        <f>IF(F871=0,"",M871*I871)</f>
        <v>1.6</v>
      </c>
      <c r="O871" s="35">
        <f t="shared" si="728"/>
        <v>132.80000000000001</v>
      </c>
      <c r="P871" s="38">
        <f t="shared" si="729"/>
        <v>202.49</v>
      </c>
      <c r="Q871" s="2"/>
    </row>
    <row r="872" spans="1:17" x14ac:dyDescent="0.25">
      <c r="A872" s="122" t="str">
        <f>IF(TRIM(G872)&lt;&gt;"",COUNTA(G$7:$G872)&amp;"","")</f>
        <v>709</v>
      </c>
      <c r="B872" s="123"/>
      <c r="C872" s="123"/>
      <c r="D872" s="222"/>
      <c r="E872" s="104" t="s">
        <v>1004</v>
      </c>
      <c r="F872" s="224">
        <v>4</v>
      </c>
      <c r="G872" s="125" t="s">
        <v>250</v>
      </c>
      <c r="H872" s="33">
        <v>0</v>
      </c>
      <c r="I872" s="82">
        <f t="shared" si="725"/>
        <v>4</v>
      </c>
      <c r="J872" s="34">
        <v>77.42</v>
      </c>
      <c r="K872" s="35">
        <f t="shared" ref="K872" si="732">IF(F872=0,"",J872*I872)</f>
        <v>309.68</v>
      </c>
      <c r="L872" s="36">
        <f t="shared" si="699"/>
        <v>83</v>
      </c>
      <c r="M872" s="37">
        <v>1.667</v>
      </c>
      <c r="N872" s="37">
        <f t="shared" ref="N872" si="733">IF(F872=0,"",M872*I872)</f>
        <v>6.6680000000000001</v>
      </c>
      <c r="O872" s="35">
        <f t="shared" si="728"/>
        <v>553.44399999999996</v>
      </c>
      <c r="P872" s="38">
        <f t="shared" si="729"/>
        <v>863.12400000000002</v>
      </c>
      <c r="Q872" s="2"/>
    </row>
    <row r="873" spans="1:17" x14ac:dyDescent="0.25">
      <c r="A873" s="122" t="str">
        <f>IF(TRIM(G873)&lt;&gt;"",COUNTA(G$7:$G873)&amp;"","")</f>
        <v>710</v>
      </c>
      <c r="B873" s="123"/>
      <c r="C873" s="123"/>
      <c r="D873" s="222"/>
      <c r="E873" s="104" t="s">
        <v>1005</v>
      </c>
      <c r="F873" s="224">
        <v>1</v>
      </c>
      <c r="G873" s="125" t="s">
        <v>250</v>
      </c>
      <c r="H873" s="33">
        <v>0</v>
      </c>
      <c r="I873" s="82">
        <f t="shared" si="725"/>
        <v>1</v>
      </c>
      <c r="J873" s="34">
        <v>94.41</v>
      </c>
      <c r="K873" s="35">
        <f>IF(F873=0,"",J873*I873)</f>
        <v>94.41</v>
      </c>
      <c r="L873" s="36">
        <f t="shared" si="699"/>
        <v>83</v>
      </c>
      <c r="M873" s="37">
        <v>1.714</v>
      </c>
      <c r="N873" s="37">
        <f>IF(F873=0,"",M873*I873)</f>
        <v>1.714</v>
      </c>
      <c r="O873" s="35">
        <f t="shared" si="728"/>
        <v>142.262</v>
      </c>
      <c r="P873" s="38">
        <f t="shared" si="729"/>
        <v>236.672</v>
      </c>
      <c r="Q873" s="2"/>
    </row>
    <row r="874" spans="1:17" x14ac:dyDescent="0.25">
      <c r="A874" s="122" t="str">
        <f>IF(TRIM(G874)&lt;&gt;"",COUNTA(G$7:$G874)&amp;"","")</f>
        <v>711</v>
      </c>
      <c r="B874" s="123"/>
      <c r="C874" s="123"/>
      <c r="D874" s="222"/>
      <c r="E874" s="104" t="s">
        <v>1006</v>
      </c>
      <c r="F874" s="224">
        <v>1</v>
      </c>
      <c r="G874" s="125" t="s">
        <v>250</v>
      </c>
      <c r="H874" s="33">
        <v>0</v>
      </c>
      <c r="I874" s="82">
        <f t="shared" si="725"/>
        <v>1</v>
      </c>
      <c r="J874" s="34">
        <v>41.99</v>
      </c>
      <c r="K874" s="35">
        <f>IF(F874=0,"",J874*I874)</f>
        <v>41.99</v>
      </c>
      <c r="L874" s="36">
        <f t="shared" si="699"/>
        <v>83</v>
      </c>
      <c r="M874" s="37">
        <v>1.1299999999999999</v>
      </c>
      <c r="N874" s="37">
        <f>IF(F874=0,"",M874*I874)</f>
        <v>1.1299999999999999</v>
      </c>
      <c r="O874" s="35">
        <f t="shared" si="728"/>
        <v>93.789999999999992</v>
      </c>
      <c r="P874" s="38">
        <f t="shared" si="729"/>
        <v>135.78</v>
      </c>
      <c r="Q874" s="2"/>
    </row>
    <row r="875" spans="1:17" x14ac:dyDescent="0.25">
      <c r="A875" s="122" t="str">
        <f>IF(TRIM(G875)&lt;&gt;"",COUNTA(G$7:$G875)&amp;"","")</f>
        <v>712</v>
      </c>
      <c r="B875" s="123"/>
      <c r="C875" s="123"/>
      <c r="D875" s="222"/>
      <c r="E875" s="104" t="s">
        <v>1007</v>
      </c>
      <c r="F875" s="224">
        <v>1</v>
      </c>
      <c r="G875" s="125" t="s">
        <v>250</v>
      </c>
      <c r="H875" s="33">
        <v>0</v>
      </c>
      <c r="I875" s="82">
        <f t="shared" si="725"/>
        <v>1</v>
      </c>
      <c r="J875" s="34">
        <v>64.849999999999994</v>
      </c>
      <c r="K875" s="35">
        <f t="shared" ref="K875" si="734">IF(F875=0,"",J875*I875)</f>
        <v>64.849999999999994</v>
      </c>
      <c r="L875" s="36">
        <f t="shared" si="699"/>
        <v>83</v>
      </c>
      <c r="M875" s="37">
        <v>1.58</v>
      </c>
      <c r="N875" s="37">
        <f t="shared" ref="N875" si="735">IF(F875=0,"",M875*I875)</f>
        <v>1.58</v>
      </c>
      <c r="O875" s="35">
        <f t="shared" si="728"/>
        <v>131.14000000000001</v>
      </c>
      <c r="P875" s="38">
        <f t="shared" si="729"/>
        <v>195.99</v>
      </c>
      <c r="Q875" s="2"/>
    </row>
    <row r="876" spans="1:17" x14ac:dyDescent="0.25">
      <c r="A876" s="122" t="str">
        <f>IF(TRIM(G876)&lt;&gt;"",COUNTA(G$7:$G876)&amp;"","")</f>
        <v>713</v>
      </c>
      <c r="B876" s="123"/>
      <c r="C876" s="123"/>
      <c r="D876" s="222"/>
      <c r="E876" s="104" t="s">
        <v>1008</v>
      </c>
      <c r="F876" s="224">
        <v>1</v>
      </c>
      <c r="G876" s="125" t="s">
        <v>250</v>
      </c>
      <c r="H876" s="33">
        <v>0</v>
      </c>
      <c r="I876" s="82">
        <f t="shared" si="725"/>
        <v>1</v>
      </c>
      <c r="J876" s="34">
        <v>73.430000000000007</v>
      </c>
      <c r="K876" s="35">
        <f>IF(F876=0,"",J876*I876)</f>
        <v>73.430000000000007</v>
      </c>
      <c r="L876" s="36">
        <f t="shared" si="699"/>
        <v>83</v>
      </c>
      <c r="M876" s="37">
        <v>2.286</v>
      </c>
      <c r="N876" s="37">
        <f>IF(F876=0,"",M876*I876)</f>
        <v>2.286</v>
      </c>
      <c r="O876" s="35">
        <f t="shared" si="728"/>
        <v>189.738</v>
      </c>
      <c r="P876" s="38">
        <f t="shared" si="729"/>
        <v>263.16800000000001</v>
      </c>
      <c r="Q876" s="2"/>
    </row>
    <row r="877" spans="1:17" x14ac:dyDescent="0.25">
      <c r="A877" s="122" t="str">
        <f>IF(TRIM(G877)&lt;&gt;"",COUNTA(G$7:$G877)&amp;"","")</f>
        <v>714</v>
      </c>
      <c r="B877" s="123"/>
      <c r="C877" s="123"/>
      <c r="D877" s="222"/>
      <c r="E877" s="104" t="s">
        <v>1009</v>
      </c>
      <c r="F877" s="224">
        <v>2</v>
      </c>
      <c r="G877" s="125" t="s">
        <v>250</v>
      </c>
      <c r="H877" s="33">
        <v>0</v>
      </c>
      <c r="I877" s="82">
        <f t="shared" si="725"/>
        <v>2</v>
      </c>
      <c r="J877" s="34">
        <v>79.989999999999995</v>
      </c>
      <c r="K877" s="35">
        <f>IF(F877=0,"",J877*I877)</f>
        <v>159.97999999999999</v>
      </c>
      <c r="L877" s="36">
        <f t="shared" si="699"/>
        <v>83</v>
      </c>
      <c r="M877" s="37">
        <v>2.31</v>
      </c>
      <c r="N877" s="37">
        <f>IF(F877=0,"",M877*I877)</f>
        <v>4.62</v>
      </c>
      <c r="O877" s="35">
        <f t="shared" si="728"/>
        <v>383.46000000000004</v>
      </c>
      <c r="P877" s="38">
        <f t="shared" si="729"/>
        <v>543.44000000000005</v>
      </c>
      <c r="Q877" s="2"/>
    </row>
    <row r="878" spans="1:17" x14ac:dyDescent="0.25">
      <c r="A878" s="122" t="str">
        <f>IF(TRIM(G878)&lt;&gt;"",COUNTA(G$7:$G878)&amp;"","")</f>
        <v>715</v>
      </c>
      <c r="B878" s="123"/>
      <c r="C878" s="123"/>
      <c r="D878" s="222"/>
      <c r="E878" s="104" t="s">
        <v>1010</v>
      </c>
      <c r="F878" s="224">
        <v>1</v>
      </c>
      <c r="G878" s="125" t="s">
        <v>250</v>
      </c>
      <c r="H878" s="33">
        <v>0</v>
      </c>
      <c r="I878" s="82">
        <f t="shared" si="725"/>
        <v>1</v>
      </c>
      <c r="J878" s="34">
        <v>85.61</v>
      </c>
      <c r="K878" s="35">
        <f t="shared" ref="K878" si="736">IF(F878=0,"",J878*I878)</f>
        <v>85.61</v>
      </c>
      <c r="L878" s="36">
        <f t="shared" si="699"/>
        <v>83</v>
      </c>
      <c r="M878" s="37">
        <v>2.39</v>
      </c>
      <c r="N878" s="37">
        <f t="shared" ref="N878" si="737">IF(F878=0,"",M878*I878)</f>
        <v>2.39</v>
      </c>
      <c r="O878" s="35">
        <f t="shared" si="728"/>
        <v>198.37</v>
      </c>
      <c r="P878" s="38">
        <f t="shared" si="729"/>
        <v>283.98</v>
      </c>
      <c r="Q878" s="2"/>
    </row>
    <row r="879" spans="1:17" x14ac:dyDescent="0.25">
      <c r="A879" s="122" t="str">
        <f>IF(TRIM(G879)&lt;&gt;"",COUNTA(G$7:$G879)&amp;"","")</f>
        <v>716</v>
      </c>
      <c r="B879" s="123"/>
      <c r="C879" s="123"/>
      <c r="D879" s="222"/>
      <c r="E879" s="104" t="s">
        <v>1011</v>
      </c>
      <c r="F879" s="224">
        <v>1</v>
      </c>
      <c r="G879" s="125" t="s">
        <v>250</v>
      </c>
      <c r="H879" s="33">
        <v>0</v>
      </c>
      <c r="I879" s="82">
        <f t="shared" si="725"/>
        <v>1</v>
      </c>
      <c r="J879" s="34">
        <v>97.8</v>
      </c>
      <c r="K879" s="35">
        <f>IF(F879=0,"",J879*I879)</f>
        <v>97.8</v>
      </c>
      <c r="L879" s="36">
        <f t="shared" si="699"/>
        <v>83</v>
      </c>
      <c r="M879" s="37">
        <v>2.3380000000000001</v>
      </c>
      <c r="N879" s="37">
        <f>IF(F879=0,"",M879*I879)</f>
        <v>2.3380000000000001</v>
      </c>
      <c r="O879" s="35">
        <f t="shared" si="728"/>
        <v>194.054</v>
      </c>
      <c r="P879" s="38">
        <f t="shared" si="729"/>
        <v>291.85399999999998</v>
      </c>
      <c r="Q879" s="2"/>
    </row>
    <row r="880" spans="1:17" x14ac:dyDescent="0.25">
      <c r="A880" s="122" t="str">
        <f>IF(TRIM(G880)&lt;&gt;"",COUNTA(G$7:$G880)&amp;"","")</f>
        <v>717</v>
      </c>
      <c r="B880" s="123"/>
      <c r="C880" s="123"/>
      <c r="D880" s="222"/>
      <c r="E880" s="104" t="s">
        <v>1012</v>
      </c>
      <c r="F880" s="224">
        <v>1</v>
      </c>
      <c r="G880" s="125" t="s">
        <v>250</v>
      </c>
      <c r="H880" s="33">
        <v>0</v>
      </c>
      <c r="I880" s="82">
        <f t="shared" si="725"/>
        <v>1</v>
      </c>
      <c r="J880" s="34">
        <v>141.86000000000001</v>
      </c>
      <c r="K880" s="35">
        <f t="shared" ref="K880" si="738">IF(F880=0,"",J880*I880)</f>
        <v>141.86000000000001</v>
      </c>
      <c r="L880" s="36">
        <f t="shared" si="699"/>
        <v>83</v>
      </c>
      <c r="M880" s="37">
        <v>2.6669999999999998</v>
      </c>
      <c r="N880" s="37">
        <f t="shared" ref="N880" si="739">IF(F880=0,"",M880*I880)</f>
        <v>2.6669999999999998</v>
      </c>
      <c r="O880" s="35">
        <f t="shared" si="728"/>
        <v>221.36099999999999</v>
      </c>
      <c r="P880" s="38">
        <f t="shared" si="729"/>
        <v>363.221</v>
      </c>
      <c r="Q880" s="2"/>
    </row>
    <row r="881" spans="1:17" x14ac:dyDescent="0.25">
      <c r="A881" s="122" t="str">
        <f>IF(TRIM(G881)&lt;&gt;"",COUNTA(G$7:$G881)&amp;"","")</f>
        <v>718</v>
      </c>
      <c r="B881" s="123"/>
      <c r="C881" s="123"/>
      <c r="D881" s="222"/>
      <c r="E881" s="104" t="s">
        <v>1013</v>
      </c>
      <c r="F881" s="224">
        <v>10</v>
      </c>
      <c r="G881" s="125" t="s">
        <v>250</v>
      </c>
      <c r="H881" s="33">
        <v>0</v>
      </c>
      <c r="I881" s="82">
        <f t="shared" si="725"/>
        <v>10</v>
      </c>
      <c r="J881" s="34">
        <v>39.950000000000003</v>
      </c>
      <c r="K881" s="35">
        <f>IF(F881=0,"",J881*I881)</f>
        <v>399.5</v>
      </c>
      <c r="L881" s="36">
        <f t="shared" si="699"/>
        <v>83</v>
      </c>
      <c r="M881" s="37">
        <v>1.08</v>
      </c>
      <c r="N881" s="37">
        <f>IF(F881=0,"",M881*I881)</f>
        <v>10.8</v>
      </c>
      <c r="O881" s="35">
        <f t="shared" si="728"/>
        <v>896.40000000000009</v>
      </c>
      <c r="P881" s="38">
        <f t="shared" si="729"/>
        <v>1295.9000000000001</v>
      </c>
      <c r="Q881" s="2"/>
    </row>
    <row r="882" spans="1:17" x14ac:dyDescent="0.25">
      <c r="A882" s="122" t="str">
        <f>IF(TRIM(G882)&lt;&gt;"",COUNTA(G$7:$G882)&amp;"","")</f>
        <v>719</v>
      </c>
      <c r="B882" s="123"/>
      <c r="C882" s="123"/>
      <c r="D882" s="222"/>
      <c r="E882" s="104" t="s">
        <v>1014</v>
      </c>
      <c r="F882" s="224">
        <v>1</v>
      </c>
      <c r="G882" s="125" t="s">
        <v>250</v>
      </c>
      <c r="H882" s="33">
        <v>0</v>
      </c>
      <c r="I882" s="82">
        <f t="shared" si="725"/>
        <v>1</v>
      </c>
      <c r="J882" s="34">
        <v>45.23</v>
      </c>
      <c r="K882" s="35">
        <f>IF(F882=0,"",J882*I882)</f>
        <v>45.23</v>
      </c>
      <c r="L882" s="36">
        <f t="shared" si="699"/>
        <v>83</v>
      </c>
      <c r="M882" s="37">
        <v>1.1399999999999999</v>
      </c>
      <c r="N882" s="37">
        <f>IF(F882=0,"",M882*I882)</f>
        <v>1.1399999999999999</v>
      </c>
      <c r="O882" s="35">
        <f t="shared" si="728"/>
        <v>94.61999999999999</v>
      </c>
      <c r="P882" s="38">
        <f t="shared" si="729"/>
        <v>139.85</v>
      </c>
      <c r="Q882" s="2"/>
    </row>
    <row r="883" spans="1:17" x14ac:dyDescent="0.25">
      <c r="A883" s="122" t="str">
        <f>IF(TRIM(G883)&lt;&gt;"",COUNTA(G$7:$G883)&amp;"","")</f>
        <v>720</v>
      </c>
      <c r="B883" s="123"/>
      <c r="C883" s="123"/>
      <c r="D883" s="222"/>
      <c r="E883" s="104" t="s">
        <v>1014</v>
      </c>
      <c r="F883" s="224">
        <v>4</v>
      </c>
      <c r="G883" s="125" t="s">
        <v>250</v>
      </c>
      <c r="H883" s="33">
        <v>0</v>
      </c>
      <c r="I883" s="82">
        <f t="shared" si="725"/>
        <v>4</v>
      </c>
      <c r="J883" s="34">
        <v>45.23</v>
      </c>
      <c r="K883" s="35">
        <f t="shared" ref="K883" si="740">IF(F883=0,"",J883*I883)</f>
        <v>180.92</v>
      </c>
      <c r="L883" s="36">
        <f t="shared" si="699"/>
        <v>83</v>
      </c>
      <c r="M883" s="37">
        <v>1.24</v>
      </c>
      <c r="N883" s="37">
        <f t="shared" ref="N883" si="741">IF(F883=0,"",M883*I883)</f>
        <v>4.96</v>
      </c>
      <c r="O883" s="35">
        <f t="shared" si="728"/>
        <v>411.68</v>
      </c>
      <c r="P883" s="38">
        <f t="shared" si="729"/>
        <v>592.6</v>
      </c>
      <c r="Q883" s="2"/>
    </row>
    <row r="884" spans="1:17" x14ac:dyDescent="0.25">
      <c r="A884" s="122" t="str">
        <f>IF(TRIM(G884)&lt;&gt;"",COUNTA(G$7:$G884)&amp;"","")</f>
        <v>721</v>
      </c>
      <c r="B884" s="123"/>
      <c r="C884" s="123"/>
      <c r="D884" s="222"/>
      <c r="E884" s="104" t="s">
        <v>1015</v>
      </c>
      <c r="F884" s="224">
        <v>1</v>
      </c>
      <c r="G884" s="125" t="s">
        <v>250</v>
      </c>
      <c r="H884" s="33">
        <v>0</v>
      </c>
      <c r="I884" s="82">
        <f>IF(F884=0,"",F884+(F884*H884))</f>
        <v>1</v>
      </c>
      <c r="J884" s="34">
        <v>55.47</v>
      </c>
      <c r="K884" s="35">
        <f>IF(F884=0,"",J884*I884)</f>
        <v>55.47</v>
      </c>
      <c r="L884" s="36">
        <f t="shared" si="699"/>
        <v>83</v>
      </c>
      <c r="M884" s="37">
        <v>1.347</v>
      </c>
      <c r="N884" s="37">
        <f>IF(F884=0,"",M884*I884)</f>
        <v>1.347</v>
      </c>
      <c r="O884" s="35">
        <f>IF(F884=0,"",N884*L884)</f>
        <v>111.801</v>
      </c>
      <c r="P884" s="38">
        <f>IF(F884=0,"",K884+O884)</f>
        <v>167.27100000000002</v>
      </c>
      <c r="Q884" s="2"/>
    </row>
    <row r="885" spans="1:17" x14ac:dyDescent="0.25">
      <c r="A885" s="122" t="str">
        <f>IF(TRIM(G885)&lt;&gt;"",COUNTA(G$7:$G885)&amp;"","")</f>
        <v>722</v>
      </c>
      <c r="B885" s="123"/>
      <c r="C885" s="123"/>
      <c r="D885" s="222"/>
      <c r="E885" s="104" t="s">
        <v>1016</v>
      </c>
      <c r="F885" s="224">
        <v>1</v>
      </c>
      <c r="G885" s="125" t="s">
        <v>250</v>
      </c>
      <c r="H885" s="33">
        <v>0</v>
      </c>
      <c r="I885" s="82">
        <f t="shared" ref="I885:I897" si="742">IF(F885=0,"",F885+(F885*H885))</f>
        <v>1</v>
      </c>
      <c r="J885" s="34">
        <v>64.23</v>
      </c>
      <c r="K885" s="35">
        <f t="shared" ref="K885" si="743">IF(F885=0,"",J885*I885)</f>
        <v>64.23</v>
      </c>
      <c r="L885" s="36">
        <f t="shared" si="699"/>
        <v>83</v>
      </c>
      <c r="M885" s="37">
        <v>1.4670000000000001</v>
      </c>
      <c r="N885" s="37">
        <f t="shared" ref="N885" si="744">IF(F885=0,"",M885*I885)</f>
        <v>1.4670000000000001</v>
      </c>
      <c r="O885" s="35">
        <f t="shared" ref="O885:O897" si="745">IF(F885=0,"",N885*L885)</f>
        <v>121.76100000000001</v>
      </c>
      <c r="P885" s="38">
        <f t="shared" ref="P885:P897" si="746">IF(F885=0,"",K885+O885)</f>
        <v>185.99100000000001</v>
      </c>
      <c r="Q885" s="2"/>
    </row>
    <row r="886" spans="1:17" x14ac:dyDescent="0.25">
      <c r="A886" s="122" t="str">
        <f>IF(TRIM(G886)&lt;&gt;"",COUNTA(G$7:$G886)&amp;"","")</f>
        <v>723</v>
      </c>
      <c r="B886" s="123"/>
      <c r="C886" s="123"/>
      <c r="D886" s="222"/>
      <c r="E886" s="104" t="s">
        <v>1017</v>
      </c>
      <c r="F886" s="224">
        <v>1</v>
      </c>
      <c r="G886" s="125" t="s">
        <v>250</v>
      </c>
      <c r="H886" s="33">
        <v>0</v>
      </c>
      <c r="I886" s="82">
        <f t="shared" si="742"/>
        <v>1</v>
      </c>
      <c r="J886" s="34">
        <v>68.36</v>
      </c>
      <c r="K886" s="35">
        <f>IF(F886=0,"",J886*I886)</f>
        <v>68.36</v>
      </c>
      <c r="L886" s="36">
        <f t="shared" si="699"/>
        <v>83</v>
      </c>
      <c r="M886" s="37">
        <v>1.587</v>
      </c>
      <c r="N886" s="37">
        <f>IF(F886=0,"",M886*I886)</f>
        <v>1.587</v>
      </c>
      <c r="O886" s="35">
        <f t="shared" si="745"/>
        <v>131.721</v>
      </c>
      <c r="P886" s="38">
        <f t="shared" si="746"/>
        <v>200.08100000000002</v>
      </c>
      <c r="Q886" s="2"/>
    </row>
    <row r="887" spans="1:17" x14ac:dyDescent="0.25">
      <c r="A887" s="122" t="str">
        <f>IF(TRIM(G887)&lt;&gt;"",COUNTA(G$7:$G887)&amp;"","")</f>
        <v>724</v>
      </c>
      <c r="B887" s="123"/>
      <c r="C887" s="123"/>
      <c r="D887" s="222"/>
      <c r="E887" s="104" t="s">
        <v>1018</v>
      </c>
      <c r="F887" s="224">
        <v>2</v>
      </c>
      <c r="G887" s="125" t="s">
        <v>250</v>
      </c>
      <c r="H887" s="33">
        <v>0</v>
      </c>
      <c r="I887" s="82">
        <f t="shared" si="742"/>
        <v>2</v>
      </c>
      <c r="J887" s="34">
        <v>120.25</v>
      </c>
      <c r="K887" s="35">
        <f>IF(F887=0,"",J887*I887)</f>
        <v>240.5</v>
      </c>
      <c r="L887" s="36">
        <f t="shared" si="699"/>
        <v>83</v>
      </c>
      <c r="M887" s="37">
        <v>1.7070000000000001</v>
      </c>
      <c r="N887" s="37">
        <f>IF(F887=0,"",M887*I887)</f>
        <v>3.4140000000000001</v>
      </c>
      <c r="O887" s="35">
        <f t="shared" si="745"/>
        <v>283.36200000000002</v>
      </c>
      <c r="P887" s="38">
        <f t="shared" si="746"/>
        <v>523.86200000000008</v>
      </c>
      <c r="Q887" s="2"/>
    </row>
    <row r="888" spans="1:17" x14ac:dyDescent="0.25">
      <c r="A888" s="122" t="str">
        <f>IF(TRIM(G888)&lt;&gt;"",COUNTA(G$7:$G888)&amp;"","")</f>
        <v>725</v>
      </c>
      <c r="B888" s="123"/>
      <c r="C888" s="123"/>
      <c r="D888" s="222"/>
      <c r="E888" s="104" t="s">
        <v>1019</v>
      </c>
      <c r="F888" s="224">
        <v>1</v>
      </c>
      <c r="G888" s="125" t="s">
        <v>250</v>
      </c>
      <c r="H888" s="33">
        <v>0</v>
      </c>
      <c r="I888" s="82">
        <f t="shared" si="742"/>
        <v>1</v>
      </c>
      <c r="J888" s="34">
        <v>125.25</v>
      </c>
      <c r="K888" s="35">
        <f t="shared" ref="K888" si="747">IF(F888=0,"",J888*I888)</f>
        <v>125.25</v>
      </c>
      <c r="L888" s="36">
        <f t="shared" si="699"/>
        <v>83</v>
      </c>
      <c r="M888" s="37">
        <v>1.827</v>
      </c>
      <c r="N888" s="37">
        <f t="shared" ref="N888" si="748">IF(F888=0,"",M888*I888)</f>
        <v>1.827</v>
      </c>
      <c r="O888" s="35">
        <f t="shared" si="745"/>
        <v>151.64099999999999</v>
      </c>
      <c r="P888" s="38">
        <f t="shared" si="746"/>
        <v>276.89099999999996</v>
      </c>
      <c r="Q888" s="2"/>
    </row>
    <row r="889" spans="1:17" x14ac:dyDescent="0.25">
      <c r="A889" s="122" t="str">
        <f>IF(TRIM(G889)&lt;&gt;"",COUNTA(G$7:$G889)&amp;"","")</f>
        <v>726</v>
      </c>
      <c r="B889" s="123"/>
      <c r="C889" s="123"/>
      <c r="D889" s="222"/>
      <c r="E889" s="104" t="s">
        <v>1020</v>
      </c>
      <c r="F889" s="224">
        <v>2</v>
      </c>
      <c r="G889" s="125" t="s">
        <v>250</v>
      </c>
      <c r="H889" s="33">
        <v>0</v>
      </c>
      <c r="I889" s="82">
        <f t="shared" si="742"/>
        <v>2</v>
      </c>
      <c r="J889" s="34">
        <v>130.25</v>
      </c>
      <c r="K889" s="35">
        <f>IF(F889=0,"",J889*I889)</f>
        <v>260.5</v>
      </c>
      <c r="L889" s="36">
        <f t="shared" si="699"/>
        <v>83</v>
      </c>
      <c r="M889" s="37">
        <v>1.9470000000000001</v>
      </c>
      <c r="N889" s="37">
        <f>IF(F889=0,"",M889*I889)</f>
        <v>3.8940000000000001</v>
      </c>
      <c r="O889" s="35">
        <f t="shared" si="745"/>
        <v>323.202</v>
      </c>
      <c r="P889" s="38">
        <f t="shared" si="746"/>
        <v>583.702</v>
      </c>
      <c r="Q889" s="2"/>
    </row>
    <row r="890" spans="1:17" x14ac:dyDescent="0.25">
      <c r="A890" s="122" t="str">
        <f>IF(TRIM(G890)&lt;&gt;"",COUNTA(G$7:$G890)&amp;"","")</f>
        <v>727</v>
      </c>
      <c r="B890" s="123"/>
      <c r="C890" s="123"/>
      <c r="D890" s="222"/>
      <c r="E890" s="104" t="s">
        <v>1021</v>
      </c>
      <c r="F890" s="224">
        <v>2</v>
      </c>
      <c r="G890" s="125" t="s">
        <v>250</v>
      </c>
      <c r="H890" s="33">
        <v>0</v>
      </c>
      <c r="I890" s="82">
        <f t="shared" si="742"/>
        <v>2</v>
      </c>
      <c r="J890" s="34">
        <v>125.3</v>
      </c>
      <c r="K890" s="35">
        <f>IF(F890=0,"",J890*I890)</f>
        <v>250.6</v>
      </c>
      <c r="L890" s="36">
        <f t="shared" si="699"/>
        <v>83</v>
      </c>
      <c r="M890" s="37">
        <v>2.1</v>
      </c>
      <c r="N890" s="37">
        <f>IF(F890=0,"",M890*I890)</f>
        <v>4.2</v>
      </c>
      <c r="O890" s="35">
        <f t="shared" si="745"/>
        <v>348.6</v>
      </c>
      <c r="P890" s="38">
        <f t="shared" si="746"/>
        <v>599.20000000000005</v>
      </c>
      <c r="Q890" s="2"/>
    </row>
    <row r="891" spans="1:17" x14ac:dyDescent="0.25">
      <c r="A891" s="122" t="str">
        <f>IF(TRIM(G891)&lt;&gt;"",COUNTA(G$7:$G891)&amp;"","")</f>
        <v>728</v>
      </c>
      <c r="B891" s="123"/>
      <c r="C891" s="123"/>
      <c r="D891" s="222"/>
      <c r="E891" s="104" t="s">
        <v>1022</v>
      </c>
      <c r="F891" s="224">
        <v>1</v>
      </c>
      <c r="G891" s="125" t="s">
        <v>250</v>
      </c>
      <c r="H891" s="33">
        <v>0</v>
      </c>
      <c r="I891" s="82">
        <f t="shared" si="742"/>
        <v>1</v>
      </c>
      <c r="J891" s="34">
        <v>135.25</v>
      </c>
      <c r="K891" s="35">
        <f t="shared" ref="K891" si="749">IF(F891=0,"",J891*I891)</f>
        <v>135.25</v>
      </c>
      <c r="L891" s="36">
        <f t="shared" si="699"/>
        <v>83</v>
      </c>
      <c r="M891" s="37">
        <v>2.6</v>
      </c>
      <c r="N891" s="37">
        <f t="shared" ref="N891" si="750">IF(F891=0,"",M891*I891)</f>
        <v>2.6</v>
      </c>
      <c r="O891" s="35">
        <f t="shared" si="745"/>
        <v>215.8</v>
      </c>
      <c r="P891" s="38">
        <f t="shared" si="746"/>
        <v>351.05</v>
      </c>
      <c r="Q891" s="2"/>
    </row>
    <row r="892" spans="1:17" x14ac:dyDescent="0.25">
      <c r="A892" s="122" t="str">
        <f>IF(TRIM(G892)&lt;&gt;"",COUNTA(G$7:$G892)&amp;"","")</f>
        <v>729</v>
      </c>
      <c r="B892" s="123"/>
      <c r="C892" s="123"/>
      <c r="D892" s="222"/>
      <c r="E892" s="104" t="s">
        <v>1023</v>
      </c>
      <c r="F892" s="224">
        <v>1</v>
      </c>
      <c r="G892" s="125" t="s">
        <v>250</v>
      </c>
      <c r="H892" s="33">
        <v>0</v>
      </c>
      <c r="I892" s="82">
        <f t="shared" si="742"/>
        <v>1</v>
      </c>
      <c r="J892" s="34">
        <v>25.3</v>
      </c>
      <c r="K892" s="35">
        <f>IF(F892=0,"",J892*I892)</f>
        <v>25.3</v>
      </c>
      <c r="L892" s="36">
        <f t="shared" si="699"/>
        <v>83</v>
      </c>
      <c r="M892" s="37">
        <v>0.3</v>
      </c>
      <c r="N892" s="37">
        <f>IF(F892=0,"",M892*I892)</f>
        <v>0.3</v>
      </c>
      <c r="O892" s="35">
        <f t="shared" si="745"/>
        <v>24.9</v>
      </c>
      <c r="P892" s="38">
        <f t="shared" si="746"/>
        <v>50.2</v>
      </c>
      <c r="Q892" s="2"/>
    </row>
    <row r="893" spans="1:17" x14ac:dyDescent="0.25">
      <c r="A893" s="122" t="str">
        <f>IF(TRIM(G893)&lt;&gt;"",COUNTA(G$7:$G893)&amp;"","")</f>
        <v>730</v>
      </c>
      <c r="B893" s="123"/>
      <c r="C893" s="123"/>
      <c r="D893" s="222"/>
      <c r="E893" s="104" t="s">
        <v>1024</v>
      </c>
      <c r="F893" s="224">
        <v>2</v>
      </c>
      <c r="G893" s="125" t="s">
        <v>250</v>
      </c>
      <c r="H893" s="33">
        <v>0</v>
      </c>
      <c r="I893" s="82">
        <f t="shared" si="742"/>
        <v>2</v>
      </c>
      <c r="J893" s="34">
        <v>35</v>
      </c>
      <c r="K893" s="35">
        <f>IF(F893=0,"",J893*I893)</f>
        <v>70</v>
      </c>
      <c r="L893" s="36">
        <f t="shared" si="699"/>
        <v>83</v>
      </c>
      <c r="M893" s="37">
        <v>0.3</v>
      </c>
      <c r="N893" s="37">
        <f>IF(F893=0,"",M893*I893)</f>
        <v>0.6</v>
      </c>
      <c r="O893" s="35">
        <f t="shared" si="745"/>
        <v>49.8</v>
      </c>
      <c r="P893" s="38">
        <f t="shared" si="746"/>
        <v>119.8</v>
      </c>
      <c r="Q893" s="2"/>
    </row>
    <row r="894" spans="1:17" x14ac:dyDescent="0.25">
      <c r="A894" s="122" t="str">
        <f>IF(TRIM(G894)&lt;&gt;"",COUNTA(G$7:$G894)&amp;"","")</f>
        <v>731</v>
      </c>
      <c r="B894" s="123"/>
      <c r="C894" s="123"/>
      <c r="D894" s="222"/>
      <c r="E894" s="104" t="s">
        <v>1025</v>
      </c>
      <c r="F894" s="224">
        <v>5</v>
      </c>
      <c r="G894" s="125" t="s">
        <v>250</v>
      </c>
      <c r="H894" s="33">
        <v>0</v>
      </c>
      <c r="I894" s="82">
        <f t="shared" si="742"/>
        <v>5</v>
      </c>
      <c r="J894" s="34">
        <v>45</v>
      </c>
      <c r="K894" s="35">
        <f t="shared" ref="K894" si="751">IF(F894=0,"",J894*I894)</f>
        <v>225</v>
      </c>
      <c r="L894" s="36">
        <f t="shared" si="699"/>
        <v>83</v>
      </c>
      <c r="M894" s="37">
        <v>0.3</v>
      </c>
      <c r="N894" s="37">
        <f t="shared" ref="N894" si="752">IF(F894=0,"",M894*I894)</f>
        <v>1.5</v>
      </c>
      <c r="O894" s="35">
        <f t="shared" si="745"/>
        <v>124.5</v>
      </c>
      <c r="P894" s="38">
        <f t="shared" si="746"/>
        <v>349.5</v>
      </c>
      <c r="Q894" s="2"/>
    </row>
    <row r="895" spans="1:17" x14ac:dyDescent="0.25">
      <c r="A895" s="122" t="str">
        <f>IF(TRIM(G895)&lt;&gt;"",COUNTA(G$7:$G895)&amp;"","")</f>
        <v>732</v>
      </c>
      <c r="B895" s="123"/>
      <c r="C895" s="123"/>
      <c r="D895" s="222"/>
      <c r="E895" s="104" t="s">
        <v>1026</v>
      </c>
      <c r="F895" s="224">
        <v>5</v>
      </c>
      <c r="G895" s="125" t="s">
        <v>250</v>
      </c>
      <c r="H895" s="33">
        <v>0</v>
      </c>
      <c r="I895" s="82">
        <f t="shared" si="742"/>
        <v>5</v>
      </c>
      <c r="J895" s="34">
        <v>549.45000000000005</v>
      </c>
      <c r="K895" s="35">
        <f>IF(F895=0,"",J895*I895)</f>
        <v>2747.25</v>
      </c>
      <c r="L895" s="36">
        <f t="shared" si="699"/>
        <v>83</v>
      </c>
      <c r="M895" s="37">
        <v>0.4</v>
      </c>
      <c r="N895" s="37">
        <f>IF(F895=0,"",M895*I895)</f>
        <v>2</v>
      </c>
      <c r="O895" s="35">
        <f t="shared" si="745"/>
        <v>166</v>
      </c>
      <c r="P895" s="38">
        <f t="shared" si="746"/>
        <v>2913.25</v>
      </c>
      <c r="Q895" s="2"/>
    </row>
    <row r="896" spans="1:17" x14ac:dyDescent="0.25">
      <c r="A896" s="122" t="str">
        <f>IF(TRIM(G896)&lt;&gt;"",COUNTA(G$7:$G896)&amp;"","")</f>
        <v>733</v>
      </c>
      <c r="B896" s="123"/>
      <c r="C896" s="123"/>
      <c r="D896" s="222"/>
      <c r="E896" s="104" t="s">
        <v>1027</v>
      </c>
      <c r="F896" s="224">
        <v>3</v>
      </c>
      <c r="G896" s="125" t="s">
        <v>250</v>
      </c>
      <c r="H896" s="33">
        <v>0</v>
      </c>
      <c r="I896" s="82">
        <f t="shared" si="742"/>
        <v>3</v>
      </c>
      <c r="J896" s="34">
        <v>48.49</v>
      </c>
      <c r="K896" s="35">
        <f>IF(F896=0,"",J896*I896)</f>
        <v>145.47</v>
      </c>
      <c r="L896" s="36">
        <f t="shared" si="699"/>
        <v>83</v>
      </c>
      <c r="M896" s="37">
        <v>0.44400000000000001</v>
      </c>
      <c r="N896" s="37">
        <f>IF(F896=0,"",M896*I896)</f>
        <v>1.3320000000000001</v>
      </c>
      <c r="O896" s="35">
        <f t="shared" si="745"/>
        <v>110.55600000000001</v>
      </c>
      <c r="P896" s="38">
        <f t="shared" si="746"/>
        <v>256.02600000000001</v>
      </c>
      <c r="Q896" s="2"/>
    </row>
    <row r="897" spans="1:17" x14ac:dyDescent="0.25">
      <c r="A897" s="122" t="str">
        <f>IF(TRIM(G897)&lt;&gt;"",COUNTA(G$7:$G897)&amp;"","")</f>
        <v>734</v>
      </c>
      <c r="B897" s="123"/>
      <c r="C897" s="123"/>
      <c r="D897" s="222"/>
      <c r="E897" s="104" t="s">
        <v>1028</v>
      </c>
      <c r="F897" s="224">
        <v>4</v>
      </c>
      <c r="G897" s="125" t="s">
        <v>250</v>
      </c>
      <c r="H897" s="33">
        <v>0</v>
      </c>
      <c r="I897" s="82">
        <f t="shared" si="742"/>
        <v>4</v>
      </c>
      <c r="J897" s="34">
        <v>219.97</v>
      </c>
      <c r="K897" s="35">
        <f t="shared" ref="K897" si="753">IF(F897=0,"",J897*I897)</f>
        <v>879.88</v>
      </c>
      <c r="L897" s="36">
        <f t="shared" si="699"/>
        <v>83</v>
      </c>
      <c r="M897" s="37">
        <v>1.1499999999999999</v>
      </c>
      <c r="N897" s="37">
        <f t="shared" ref="N897" si="754">IF(F897=0,"",M897*I897)</f>
        <v>4.5999999999999996</v>
      </c>
      <c r="O897" s="35">
        <f t="shared" si="745"/>
        <v>381.79999999999995</v>
      </c>
      <c r="P897" s="38">
        <f t="shared" si="746"/>
        <v>1261.6799999999998</v>
      </c>
      <c r="Q897" s="2"/>
    </row>
    <row r="898" spans="1:17" x14ac:dyDescent="0.25">
      <c r="A898" s="122" t="str">
        <f>IF(TRIM(G898)&lt;&gt;"",COUNTA(G$7:$G898)&amp;"","")</f>
        <v/>
      </c>
      <c r="B898" s="123"/>
      <c r="C898" s="123"/>
      <c r="D898" s="222"/>
      <c r="E898" s="220"/>
      <c r="F898" s="224"/>
      <c r="G898" s="125"/>
      <c r="H898" s="33"/>
      <c r="I898" s="82"/>
      <c r="J898" s="34"/>
      <c r="K898" s="35"/>
      <c r="L898" s="36" t="str">
        <f t="shared" si="699"/>
        <v/>
      </c>
      <c r="M898" s="37"/>
      <c r="N898" s="37"/>
      <c r="O898" s="35"/>
      <c r="P898" s="38"/>
      <c r="Q898" s="2"/>
    </row>
    <row r="899" spans="1:17" x14ac:dyDescent="0.25">
      <c r="A899" s="122" t="str">
        <f>IF(TRIM(G899)&lt;&gt;"",COUNTA(G$7:$G899)&amp;"","")</f>
        <v/>
      </c>
      <c r="B899" s="123"/>
      <c r="C899" s="123"/>
      <c r="D899" s="222"/>
      <c r="E899" s="226" t="s">
        <v>1029</v>
      </c>
      <c r="F899" s="224"/>
      <c r="G899" s="125"/>
      <c r="H899" s="33" t="str">
        <f t="shared" ref="H899" si="755">IF(F899=0,"",0)</f>
        <v/>
      </c>
      <c r="I899" s="82" t="str">
        <f t="shared" ref="I899:I910" si="756">IF(F899=0,"",F899+(F899*H899))</f>
        <v/>
      </c>
      <c r="J899" s="34"/>
      <c r="K899" s="35" t="str">
        <f t="shared" ref="K899:K906" si="757">IF(F899=0,"",J899*I899)</f>
        <v/>
      </c>
      <c r="L899" s="36" t="str">
        <f t="shared" si="699"/>
        <v/>
      </c>
      <c r="M899" s="37"/>
      <c r="N899" s="37" t="str">
        <f t="shared" ref="N899:N906" si="758">IF(F899=0,"",M899*I899)</f>
        <v/>
      </c>
      <c r="O899" s="35" t="str">
        <f t="shared" ref="O899:O906" si="759">IF(F899=0,"",N899*L899)</f>
        <v/>
      </c>
      <c r="P899" s="38" t="str">
        <f t="shared" ref="P899:P906" si="760">IF(F899=0,"",K899+O899)</f>
        <v/>
      </c>
      <c r="Q899" s="2"/>
    </row>
    <row r="900" spans="1:17" x14ac:dyDescent="0.25">
      <c r="A900" s="122" t="str">
        <f>IF(TRIM(G900)&lt;&gt;"",COUNTA(G$7:$G900)&amp;"","")</f>
        <v>735</v>
      </c>
      <c r="B900" s="123"/>
      <c r="C900" s="123"/>
      <c r="D900" s="222"/>
      <c r="E900" s="104" t="s">
        <v>1030</v>
      </c>
      <c r="F900" s="224">
        <v>24</v>
      </c>
      <c r="G900" s="125" t="s">
        <v>250</v>
      </c>
      <c r="H900" s="33">
        <v>0</v>
      </c>
      <c r="I900" s="82">
        <f t="shared" si="756"/>
        <v>24</v>
      </c>
      <c r="J900" s="34">
        <f>72.95</f>
        <v>72.95</v>
      </c>
      <c r="K900" s="35">
        <f t="shared" si="757"/>
        <v>1750.8000000000002</v>
      </c>
      <c r="L900" s="36">
        <f t="shared" si="699"/>
        <v>83</v>
      </c>
      <c r="M900" s="37">
        <v>0.58899999999999997</v>
      </c>
      <c r="N900" s="37">
        <f t="shared" si="758"/>
        <v>14.135999999999999</v>
      </c>
      <c r="O900" s="35">
        <f t="shared" si="759"/>
        <v>1173.288</v>
      </c>
      <c r="P900" s="38">
        <f t="shared" si="760"/>
        <v>2924.0880000000002</v>
      </c>
      <c r="Q900" s="2"/>
    </row>
    <row r="901" spans="1:17" x14ac:dyDescent="0.25">
      <c r="A901" s="122" t="str">
        <f>IF(TRIM(G901)&lt;&gt;"",COUNTA(G$7:$G901)&amp;"","")</f>
        <v>736</v>
      </c>
      <c r="B901" s="123"/>
      <c r="C901" s="123"/>
      <c r="D901" s="222"/>
      <c r="E901" s="104" t="s">
        <v>1031</v>
      </c>
      <c r="F901" s="224">
        <v>24</v>
      </c>
      <c r="G901" s="125" t="s">
        <v>250</v>
      </c>
      <c r="H901" s="33">
        <v>0</v>
      </c>
      <c r="I901" s="82">
        <f t="shared" si="756"/>
        <v>24</v>
      </c>
      <c r="J901" s="34">
        <v>1.23</v>
      </c>
      <c r="K901" s="35">
        <f t="shared" si="757"/>
        <v>29.52</v>
      </c>
      <c r="L901" s="36">
        <f t="shared" si="699"/>
        <v>83</v>
      </c>
      <c r="M901" s="37">
        <v>0.05</v>
      </c>
      <c r="N901" s="37">
        <f t="shared" si="758"/>
        <v>1.2000000000000002</v>
      </c>
      <c r="O901" s="35">
        <f t="shared" si="759"/>
        <v>99.600000000000009</v>
      </c>
      <c r="P901" s="38">
        <f t="shared" si="760"/>
        <v>129.12</v>
      </c>
      <c r="Q901" s="2"/>
    </row>
    <row r="902" spans="1:17" x14ac:dyDescent="0.25">
      <c r="A902" s="122" t="str">
        <f>IF(TRIM(G902)&lt;&gt;"",COUNTA(G$7:$G902)&amp;"","")</f>
        <v>737</v>
      </c>
      <c r="B902" s="123"/>
      <c r="C902" s="123"/>
      <c r="D902" s="222"/>
      <c r="E902" s="104" t="s">
        <v>1032</v>
      </c>
      <c r="F902" s="224">
        <v>24</v>
      </c>
      <c r="G902" s="125" t="s">
        <v>250</v>
      </c>
      <c r="H902" s="33">
        <v>0</v>
      </c>
      <c r="I902" s="82">
        <f t="shared" si="756"/>
        <v>24</v>
      </c>
      <c r="J902" s="34">
        <v>0.31</v>
      </c>
      <c r="K902" s="35">
        <f t="shared" si="757"/>
        <v>7.4399999999999995</v>
      </c>
      <c r="L902" s="36">
        <f t="shared" si="699"/>
        <v>83</v>
      </c>
      <c r="M902" s="37">
        <v>4.3999999999999997E-2</v>
      </c>
      <c r="N902" s="37">
        <f t="shared" si="758"/>
        <v>1.056</v>
      </c>
      <c r="O902" s="35">
        <f t="shared" si="759"/>
        <v>87.64800000000001</v>
      </c>
      <c r="P902" s="38">
        <f t="shared" si="760"/>
        <v>95.088000000000008</v>
      </c>
      <c r="Q902" s="2"/>
    </row>
    <row r="903" spans="1:17" x14ac:dyDescent="0.25">
      <c r="A903" s="122" t="str">
        <f>IF(TRIM(G903)&lt;&gt;"",COUNTA(G$7:$G903)&amp;"","")</f>
        <v>738</v>
      </c>
      <c r="B903" s="123"/>
      <c r="C903" s="123"/>
      <c r="D903" s="222"/>
      <c r="E903" s="104" t="s">
        <v>1033</v>
      </c>
      <c r="F903" s="224">
        <v>48</v>
      </c>
      <c r="G903" s="125" t="s">
        <v>250</v>
      </c>
      <c r="H903" s="33">
        <v>0</v>
      </c>
      <c r="I903" s="82">
        <f t="shared" si="756"/>
        <v>48</v>
      </c>
      <c r="J903" s="34">
        <v>8.31</v>
      </c>
      <c r="K903" s="35">
        <f t="shared" si="757"/>
        <v>398.88</v>
      </c>
      <c r="L903" s="36">
        <f t="shared" si="699"/>
        <v>83</v>
      </c>
      <c r="M903" s="37">
        <v>0.15</v>
      </c>
      <c r="N903" s="37">
        <f t="shared" si="758"/>
        <v>7.1999999999999993</v>
      </c>
      <c r="O903" s="35">
        <f t="shared" si="759"/>
        <v>597.59999999999991</v>
      </c>
      <c r="P903" s="38">
        <f t="shared" si="760"/>
        <v>996.4799999999999</v>
      </c>
      <c r="Q903" s="2"/>
    </row>
    <row r="904" spans="1:17" x14ac:dyDescent="0.25">
      <c r="A904" s="122" t="str">
        <f>IF(TRIM(G904)&lt;&gt;"",COUNTA(G$7:$G904)&amp;"","")</f>
        <v>739</v>
      </c>
      <c r="B904" s="123"/>
      <c r="C904" s="123"/>
      <c r="D904" s="222"/>
      <c r="E904" s="104" t="s">
        <v>1034</v>
      </c>
      <c r="F904" s="224">
        <v>12</v>
      </c>
      <c r="G904" s="125" t="s">
        <v>250</v>
      </c>
      <c r="H904" s="33">
        <v>0</v>
      </c>
      <c r="I904" s="82">
        <f t="shared" si="756"/>
        <v>12</v>
      </c>
      <c r="J904" s="34">
        <v>10.210000000000001</v>
      </c>
      <c r="K904" s="35">
        <f t="shared" si="757"/>
        <v>122.52000000000001</v>
      </c>
      <c r="L904" s="36">
        <f t="shared" si="699"/>
        <v>83</v>
      </c>
      <c r="M904" s="37">
        <v>0.06</v>
      </c>
      <c r="N904" s="37">
        <f t="shared" si="758"/>
        <v>0.72</v>
      </c>
      <c r="O904" s="35">
        <f t="shared" si="759"/>
        <v>59.76</v>
      </c>
      <c r="P904" s="38">
        <f t="shared" si="760"/>
        <v>182.28</v>
      </c>
      <c r="Q904" s="2"/>
    </row>
    <row r="905" spans="1:17" x14ac:dyDescent="0.25">
      <c r="A905" s="122" t="str">
        <f>IF(TRIM(G905)&lt;&gt;"",COUNTA(G$7:$G905)&amp;"","")</f>
        <v>740</v>
      </c>
      <c r="B905" s="123"/>
      <c r="C905" s="123"/>
      <c r="D905" s="222"/>
      <c r="E905" s="104" t="s">
        <v>1035</v>
      </c>
      <c r="F905" s="224">
        <v>12</v>
      </c>
      <c r="G905" s="125" t="s">
        <v>250</v>
      </c>
      <c r="H905" s="33">
        <v>0</v>
      </c>
      <c r="I905" s="82">
        <f t="shared" si="756"/>
        <v>12</v>
      </c>
      <c r="J905" s="34">
        <v>25</v>
      </c>
      <c r="K905" s="35">
        <f t="shared" si="757"/>
        <v>300</v>
      </c>
      <c r="L905" s="36">
        <f t="shared" si="699"/>
        <v>83</v>
      </c>
      <c r="M905" s="37">
        <v>0.5</v>
      </c>
      <c r="N905" s="37">
        <f t="shared" si="758"/>
        <v>6</v>
      </c>
      <c r="O905" s="35">
        <f t="shared" si="759"/>
        <v>498</v>
      </c>
      <c r="P905" s="38">
        <f t="shared" si="760"/>
        <v>798</v>
      </c>
      <c r="Q905" s="2"/>
    </row>
    <row r="906" spans="1:17" x14ac:dyDescent="0.25">
      <c r="A906" s="122" t="str">
        <f>IF(TRIM(G906)&lt;&gt;"",COUNTA(G$7:$G906)&amp;"","")</f>
        <v/>
      </c>
      <c r="B906" s="123"/>
      <c r="C906" s="123"/>
      <c r="D906" s="222"/>
      <c r="E906" s="104"/>
      <c r="F906" s="224"/>
      <c r="G906" s="125"/>
      <c r="H906" s="33"/>
      <c r="I906" s="82" t="str">
        <f t="shared" si="756"/>
        <v/>
      </c>
      <c r="J906" s="225"/>
      <c r="K906" s="35" t="str">
        <f t="shared" si="757"/>
        <v/>
      </c>
      <c r="L906" s="36" t="str">
        <f t="shared" si="699"/>
        <v/>
      </c>
      <c r="M906" s="37"/>
      <c r="N906" s="37" t="str">
        <f t="shared" si="758"/>
        <v/>
      </c>
      <c r="O906" s="35" t="str">
        <f t="shared" si="759"/>
        <v/>
      </c>
      <c r="P906" s="38" t="str">
        <f t="shared" si="760"/>
        <v/>
      </c>
      <c r="Q906" s="2"/>
    </row>
    <row r="907" spans="1:17" x14ac:dyDescent="0.25">
      <c r="A907" s="122" t="str">
        <f>IF(TRIM(G907)&lt;&gt;"",COUNTA(G$7:$G907)&amp;"","")</f>
        <v/>
      </c>
      <c r="B907" s="123"/>
      <c r="C907" s="123"/>
      <c r="D907" s="222"/>
      <c r="E907" s="223" t="s">
        <v>1036</v>
      </c>
      <c r="F907" s="224"/>
      <c r="G907" s="125"/>
      <c r="H907" s="33" t="str">
        <f>IF(F907=0,"",0)</f>
        <v/>
      </c>
      <c r="I907" s="82" t="str">
        <f t="shared" si="756"/>
        <v/>
      </c>
      <c r="J907" s="34"/>
      <c r="K907" s="35" t="str">
        <f t="shared" si="698"/>
        <v/>
      </c>
      <c r="L907" s="36" t="str">
        <f t="shared" si="699"/>
        <v/>
      </c>
      <c r="M907" s="37"/>
      <c r="N907" s="37" t="str">
        <f t="shared" si="701"/>
        <v/>
      </c>
      <c r="O907" s="35" t="str">
        <f>IF(F907=0,"",N907*L907)</f>
        <v/>
      </c>
      <c r="P907" s="38" t="str">
        <f>IF(F907=0,"",K907+O907)</f>
        <v/>
      </c>
      <c r="Q907" s="2"/>
    </row>
    <row r="908" spans="1:17" x14ac:dyDescent="0.25">
      <c r="A908" s="122" t="str">
        <f>IF(TRIM(G908)&lt;&gt;"",COUNTA(G$7:$G908)&amp;"","")</f>
        <v>741</v>
      </c>
      <c r="B908" s="123"/>
      <c r="C908" s="123"/>
      <c r="D908" s="222"/>
      <c r="E908" s="220" t="s">
        <v>1037</v>
      </c>
      <c r="F908" s="224">
        <v>2</v>
      </c>
      <c r="G908" s="125" t="s">
        <v>250</v>
      </c>
      <c r="H908" s="33">
        <v>0</v>
      </c>
      <c r="I908" s="82">
        <f t="shared" si="756"/>
        <v>2</v>
      </c>
      <c r="J908" s="34">
        <v>93.05</v>
      </c>
      <c r="K908" s="35">
        <f t="shared" si="698"/>
        <v>186.1</v>
      </c>
      <c r="L908" s="36">
        <f t="shared" si="699"/>
        <v>83</v>
      </c>
      <c r="M908" s="37">
        <v>0.72699999999999998</v>
      </c>
      <c r="N908" s="37">
        <f t="shared" si="701"/>
        <v>1.454</v>
      </c>
      <c r="O908" s="35">
        <f t="shared" ref="O908:O910" si="761">IF(F908=0,"",N908*L908)</f>
        <v>120.682</v>
      </c>
      <c r="P908" s="38">
        <f t="shared" ref="P908:P910" si="762">IF(F908=0,"",K908+O908)</f>
        <v>306.78199999999998</v>
      </c>
      <c r="Q908" s="2"/>
    </row>
    <row r="909" spans="1:17" x14ac:dyDescent="0.25">
      <c r="A909" s="122" t="str">
        <f>IF(TRIM(G909)&lt;&gt;"",COUNTA(G$7:$G909)&amp;"","")</f>
        <v>742</v>
      </c>
      <c r="B909" s="123"/>
      <c r="C909" s="123"/>
      <c r="D909" s="222"/>
      <c r="E909" s="104" t="s">
        <v>1038</v>
      </c>
      <c r="F909" s="224">
        <v>2</v>
      </c>
      <c r="G909" s="125" t="s">
        <v>250</v>
      </c>
      <c r="H909" s="33">
        <v>0</v>
      </c>
      <c r="I909" s="82">
        <f t="shared" si="756"/>
        <v>2</v>
      </c>
      <c r="J909" s="34">
        <f>123.95</f>
        <v>123.95</v>
      </c>
      <c r="K909" s="35">
        <f t="shared" si="698"/>
        <v>247.9</v>
      </c>
      <c r="L909" s="36">
        <f t="shared" si="699"/>
        <v>83</v>
      </c>
      <c r="M909" s="37">
        <v>0.77</v>
      </c>
      <c r="N909" s="37">
        <f t="shared" si="701"/>
        <v>1.54</v>
      </c>
      <c r="O909" s="35">
        <f t="shared" si="761"/>
        <v>127.82000000000001</v>
      </c>
      <c r="P909" s="38">
        <f t="shared" si="762"/>
        <v>375.72</v>
      </c>
      <c r="Q909" s="2"/>
    </row>
    <row r="910" spans="1:17" x14ac:dyDescent="0.25">
      <c r="A910" s="122" t="str">
        <f>IF(TRIM(G910)&lt;&gt;"",COUNTA(G$7:$G910)&amp;"","")</f>
        <v>743</v>
      </c>
      <c r="B910" s="123"/>
      <c r="C910" s="123"/>
      <c r="D910" s="222"/>
      <c r="E910" s="104" t="s">
        <v>1039</v>
      </c>
      <c r="F910" s="224">
        <v>2</v>
      </c>
      <c r="G910" s="125" t="s">
        <v>250</v>
      </c>
      <c r="H910" s="33">
        <v>0</v>
      </c>
      <c r="I910" s="82">
        <f t="shared" si="756"/>
        <v>2</v>
      </c>
      <c r="J910" s="34">
        <v>50</v>
      </c>
      <c r="K910" s="35">
        <f t="shared" si="698"/>
        <v>100</v>
      </c>
      <c r="L910" s="36">
        <f t="shared" si="699"/>
        <v>83</v>
      </c>
      <c r="M910" s="37">
        <v>0.5</v>
      </c>
      <c r="N910" s="37">
        <f t="shared" si="701"/>
        <v>1</v>
      </c>
      <c r="O910" s="35">
        <f t="shared" si="761"/>
        <v>83</v>
      </c>
      <c r="P910" s="38">
        <f t="shared" si="762"/>
        <v>183</v>
      </c>
      <c r="Q910" s="2"/>
    </row>
    <row r="911" spans="1:17" x14ac:dyDescent="0.25">
      <c r="A911" s="122" t="str">
        <f>IF(TRIM(G911)&lt;&gt;"",COUNTA(G$7:$G911)&amp;"","")</f>
        <v>744</v>
      </c>
      <c r="B911" s="123"/>
      <c r="C911" s="123"/>
      <c r="D911" s="222"/>
      <c r="E911" s="104" t="s">
        <v>1040</v>
      </c>
      <c r="F911" s="224">
        <v>4</v>
      </c>
      <c r="G911" s="125" t="s">
        <v>250</v>
      </c>
      <c r="H911" s="33">
        <v>0</v>
      </c>
      <c r="I911" s="82">
        <f>IF(F911=0,"",F911+(F911*H911))</f>
        <v>4</v>
      </c>
      <c r="J911" s="34">
        <v>72.45</v>
      </c>
      <c r="K911" s="35">
        <f>IF(F911=0,"",J911*I911)</f>
        <v>289.8</v>
      </c>
      <c r="L911" s="36">
        <f t="shared" si="699"/>
        <v>83</v>
      </c>
      <c r="M911" s="37">
        <v>0.56699999999999995</v>
      </c>
      <c r="N911" s="37">
        <f>IF(F911=0,"",M911*I911)</f>
        <v>2.2679999999999998</v>
      </c>
      <c r="O911" s="35">
        <f>IF(F911=0,"",N911*L911)</f>
        <v>188.24399999999997</v>
      </c>
      <c r="P911" s="38">
        <f>IF(F911=0,"",K911+O911)</f>
        <v>478.04399999999998</v>
      </c>
      <c r="Q911" s="2"/>
    </row>
    <row r="912" spans="1:17" x14ac:dyDescent="0.25">
      <c r="A912" s="122" t="str">
        <f>IF(TRIM(G912)&lt;&gt;"",COUNTA(G$7:$G912)&amp;"","")</f>
        <v>745</v>
      </c>
      <c r="B912" s="123"/>
      <c r="C912" s="123"/>
      <c r="D912" s="222"/>
      <c r="E912" s="104" t="s">
        <v>1041</v>
      </c>
      <c r="F912" s="224">
        <v>1</v>
      </c>
      <c r="G912" s="125" t="s">
        <v>250</v>
      </c>
      <c r="H912" s="33">
        <v>0</v>
      </c>
      <c r="I912" s="82">
        <f>IF(F912=0,"",F912+(F912*H912))</f>
        <v>1</v>
      </c>
      <c r="J912" s="34">
        <v>72.45</v>
      </c>
      <c r="K912" s="35">
        <f>IF(F912=0,"",J912*I912)</f>
        <v>72.45</v>
      </c>
      <c r="L912" s="36">
        <f t="shared" si="699"/>
        <v>83</v>
      </c>
      <c r="M912" s="37">
        <v>0.56699999999999995</v>
      </c>
      <c r="N912" s="37">
        <f>IF(F912=0,"",M912*I912)</f>
        <v>0.56699999999999995</v>
      </c>
      <c r="O912" s="35">
        <f>IF(F912=0,"",N912*L912)</f>
        <v>47.060999999999993</v>
      </c>
      <c r="P912" s="38">
        <f>IF(F912=0,"",K912+O912)</f>
        <v>119.511</v>
      </c>
      <c r="Q912" s="2"/>
    </row>
    <row r="913" spans="1:17" x14ac:dyDescent="0.25">
      <c r="A913" s="122" t="str">
        <f>IF(TRIM(G913)&lt;&gt;"",COUNTA(G$7:$G913)&amp;"","")</f>
        <v>746</v>
      </c>
      <c r="B913" s="123"/>
      <c r="C913" s="123"/>
      <c r="D913" s="222"/>
      <c r="E913" s="220" t="s">
        <v>1042</v>
      </c>
      <c r="F913" s="224">
        <v>3</v>
      </c>
      <c r="G913" s="125" t="s">
        <v>250</v>
      </c>
      <c r="H913" s="33">
        <v>0</v>
      </c>
      <c r="I913" s="82">
        <f t="shared" ref="I913:I917" si="763">IF(F913=0,"",F913+(F913*H913))</f>
        <v>3</v>
      </c>
      <c r="J913" s="34">
        <v>72.45</v>
      </c>
      <c r="K913" s="35">
        <f t="shared" ref="K913:K917" si="764">IF(F913=0,"",J913*I913)</f>
        <v>217.35000000000002</v>
      </c>
      <c r="L913" s="36">
        <f t="shared" si="699"/>
        <v>83</v>
      </c>
      <c r="M913" s="37">
        <v>0.56699999999999995</v>
      </c>
      <c r="N913" s="37">
        <f t="shared" ref="N913:N917" si="765">IF(F913=0,"",M913*I913)</f>
        <v>1.7009999999999998</v>
      </c>
      <c r="O913" s="35">
        <f t="shared" ref="O913:O917" si="766">IF(F913=0,"",N913*L913)</f>
        <v>141.18299999999999</v>
      </c>
      <c r="P913" s="38">
        <f t="shared" ref="P913:P917" si="767">IF(F913=0,"",K913+O913)</f>
        <v>358.53300000000002</v>
      </c>
      <c r="Q913" s="2"/>
    </row>
    <row r="914" spans="1:17" x14ac:dyDescent="0.25">
      <c r="A914" s="122" t="str">
        <f>IF(TRIM(G914)&lt;&gt;"",COUNTA(G$7:$G914)&amp;"","")</f>
        <v>747</v>
      </c>
      <c r="B914" s="123"/>
      <c r="C914" s="123"/>
      <c r="D914" s="222"/>
      <c r="E914" s="104" t="s">
        <v>1043</v>
      </c>
      <c r="F914" s="224">
        <v>2</v>
      </c>
      <c r="G914" s="125" t="s">
        <v>250</v>
      </c>
      <c r="H914" s="33">
        <v>0</v>
      </c>
      <c r="I914" s="82">
        <f t="shared" si="763"/>
        <v>2</v>
      </c>
      <c r="J914" s="34">
        <v>50.35</v>
      </c>
      <c r="K914" s="34">
        <v>50.35</v>
      </c>
      <c r="L914" s="36">
        <f t="shared" si="699"/>
        <v>83</v>
      </c>
      <c r="M914" s="37">
        <v>0.52300000000000002</v>
      </c>
      <c r="N914" s="37">
        <f t="shared" si="765"/>
        <v>1.046</v>
      </c>
      <c r="O914" s="35">
        <f t="shared" si="766"/>
        <v>86.817999999999998</v>
      </c>
      <c r="P914" s="38">
        <f t="shared" si="767"/>
        <v>137.16800000000001</v>
      </c>
      <c r="Q914" s="2"/>
    </row>
    <row r="915" spans="1:17" x14ac:dyDescent="0.25">
      <c r="A915" s="122" t="str">
        <f>IF(TRIM(G915)&lt;&gt;"",COUNTA(G$7:$G915)&amp;"","")</f>
        <v>748</v>
      </c>
      <c r="B915" s="123"/>
      <c r="C915" s="123"/>
      <c r="D915" s="222"/>
      <c r="E915" s="220" t="s">
        <v>1044</v>
      </c>
      <c r="F915" s="224">
        <v>2</v>
      </c>
      <c r="G915" s="125" t="s">
        <v>250</v>
      </c>
      <c r="H915" s="33">
        <v>0</v>
      </c>
      <c r="I915" s="82">
        <f t="shared" si="763"/>
        <v>2</v>
      </c>
      <c r="J915" s="34">
        <v>50.35</v>
      </c>
      <c r="K915" s="35">
        <f t="shared" si="764"/>
        <v>100.7</v>
      </c>
      <c r="L915" s="36">
        <f t="shared" si="699"/>
        <v>83</v>
      </c>
      <c r="M915" s="37">
        <v>0.52300000000000002</v>
      </c>
      <c r="N915" s="37">
        <f t="shared" si="765"/>
        <v>1.046</v>
      </c>
      <c r="O915" s="35">
        <f t="shared" si="766"/>
        <v>86.817999999999998</v>
      </c>
      <c r="P915" s="38">
        <f t="shared" si="767"/>
        <v>187.518</v>
      </c>
      <c r="Q915" s="2"/>
    </row>
    <row r="916" spans="1:17" x14ac:dyDescent="0.25">
      <c r="A916" s="122" t="str">
        <f>IF(TRIM(G916)&lt;&gt;"",COUNTA(G$7:$G916)&amp;"","")</f>
        <v>749</v>
      </c>
      <c r="B916" s="123"/>
      <c r="C916" s="123"/>
      <c r="D916" s="222"/>
      <c r="E916" s="104" t="s">
        <v>1045</v>
      </c>
      <c r="F916" s="224">
        <v>2</v>
      </c>
      <c r="G916" s="125" t="s">
        <v>250</v>
      </c>
      <c r="H916" s="33">
        <v>0</v>
      </c>
      <c r="I916" s="82">
        <f t="shared" si="763"/>
        <v>2</v>
      </c>
      <c r="J916" s="34">
        <v>63.65</v>
      </c>
      <c r="K916" s="35">
        <f t="shared" si="764"/>
        <v>127.3</v>
      </c>
      <c r="L916" s="36">
        <f t="shared" si="699"/>
        <v>83</v>
      </c>
      <c r="M916" s="37">
        <v>0.67</v>
      </c>
      <c r="N916" s="37">
        <f t="shared" si="765"/>
        <v>1.34</v>
      </c>
      <c r="O916" s="35">
        <f t="shared" si="766"/>
        <v>111.22000000000001</v>
      </c>
      <c r="P916" s="38">
        <f t="shared" si="767"/>
        <v>238.52</v>
      </c>
      <c r="Q916" s="2"/>
    </row>
    <row r="917" spans="1:17" x14ac:dyDescent="0.25">
      <c r="A917" s="122" t="str">
        <f>IF(TRIM(G917)&lt;&gt;"",COUNTA(G$7:$G917)&amp;"","")</f>
        <v>750</v>
      </c>
      <c r="B917" s="123"/>
      <c r="C917" s="123"/>
      <c r="D917" s="222"/>
      <c r="E917" s="104" t="s">
        <v>1046</v>
      </c>
      <c r="F917" s="224">
        <v>3</v>
      </c>
      <c r="G917" s="125" t="s">
        <v>250</v>
      </c>
      <c r="H917" s="33">
        <v>0</v>
      </c>
      <c r="I917" s="82">
        <f t="shared" si="763"/>
        <v>3</v>
      </c>
      <c r="J917" s="34">
        <v>81.150000000000006</v>
      </c>
      <c r="K917" s="35">
        <f t="shared" si="764"/>
        <v>243.45000000000002</v>
      </c>
      <c r="L917" s="36">
        <f t="shared" si="699"/>
        <v>83</v>
      </c>
      <c r="M917" s="37">
        <v>0.72699999999999998</v>
      </c>
      <c r="N917" s="37">
        <f t="shared" si="765"/>
        <v>2.181</v>
      </c>
      <c r="O917" s="35">
        <f t="shared" si="766"/>
        <v>181.023</v>
      </c>
      <c r="P917" s="38">
        <f t="shared" si="767"/>
        <v>424.47300000000001</v>
      </c>
      <c r="Q917" s="2"/>
    </row>
    <row r="918" spans="1:17" x14ac:dyDescent="0.25">
      <c r="A918" s="122" t="str">
        <f>IF(TRIM(G918)&lt;&gt;"",COUNTA(G$7:$G918)&amp;"","")</f>
        <v>751</v>
      </c>
      <c r="B918" s="123"/>
      <c r="C918" s="123"/>
      <c r="D918" s="222"/>
      <c r="E918" s="104" t="s">
        <v>1047</v>
      </c>
      <c r="F918" s="224">
        <v>20</v>
      </c>
      <c r="G918" s="125" t="s">
        <v>250</v>
      </c>
      <c r="H918" s="33">
        <v>0</v>
      </c>
      <c r="I918" s="82">
        <f>IF(F918=0,"",F918+(F918*H918))</f>
        <v>20</v>
      </c>
      <c r="J918" s="34">
        <v>40.99</v>
      </c>
      <c r="K918" s="35">
        <f>IF(F918=0,"",J918*I918)</f>
        <v>819.80000000000007</v>
      </c>
      <c r="L918" s="36">
        <f t="shared" si="699"/>
        <v>83</v>
      </c>
      <c r="M918" s="37">
        <v>0.435</v>
      </c>
      <c r="N918" s="37">
        <f>IF(F918=0,"",M918*I918)</f>
        <v>8.6999999999999993</v>
      </c>
      <c r="O918" s="35">
        <f>IF(F918=0,"",N918*L918)</f>
        <v>722.09999999999991</v>
      </c>
      <c r="P918" s="38">
        <f>IF(F918=0,"",K918+O918)</f>
        <v>1541.9</v>
      </c>
      <c r="Q918" s="2"/>
    </row>
    <row r="919" spans="1:17" x14ac:dyDescent="0.25">
      <c r="A919" s="122" t="str">
        <f>IF(TRIM(G919)&lt;&gt;"",COUNTA(G$7:$G919)&amp;"","")</f>
        <v>752</v>
      </c>
      <c r="B919" s="123"/>
      <c r="C919" s="123"/>
      <c r="D919" s="222"/>
      <c r="E919" s="104" t="s">
        <v>1048</v>
      </c>
      <c r="F919" s="224">
        <v>3</v>
      </c>
      <c r="G919" s="125" t="s">
        <v>250</v>
      </c>
      <c r="H919" s="33">
        <v>0</v>
      </c>
      <c r="I919" s="82">
        <f>IF(F919=0,"",F919+(F919*H919))</f>
        <v>3</v>
      </c>
      <c r="J919" s="34">
        <v>47.95</v>
      </c>
      <c r="K919" s="35">
        <f>IF(F919=0,"",J919*I919)</f>
        <v>143.85000000000002</v>
      </c>
      <c r="L919" s="36">
        <f t="shared" si="699"/>
        <v>83</v>
      </c>
      <c r="M919" s="37">
        <v>0.46970000000000001</v>
      </c>
      <c r="N919" s="37">
        <f>IF(F919=0,"",M919*I919)</f>
        <v>1.4091</v>
      </c>
      <c r="O919" s="35">
        <f>IF(F919=0,"",N919*L919)</f>
        <v>116.95530000000001</v>
      </c>
      <c r="P919" s="38">
        <f>IF(F919=0,"",K919+O919)</f>
        <v>260.80530000000005</v>
      </c>
      <c r="Q919" s="2"/>
    </row>
    <row r="920" spans="1:17" x14ac:dyDescent="0.25">
      <c r="A920" s="122" t="str">
        <f>IF(TRIM(G920)&lt;&gt;"",COUNTA(G$7:$G920)&amp;"","")</f>
        <v>753</v>
      </c>
      <c r="B920" s="123"/>
      <c r="C920" s="123"/>
      <c r="D920" s="222"/>
      <c r="E920" s="220" t="s">
        <v>1049</v>
      </c>
      <c r="F920" s="224">
        <v>2</v>
      </c>
      <c r="G920" s="125" t="s">
        <v>250</v>
      </c>
      <c r="H920" s="33">
        <v>0</v>
      </c>
      <c r="I920" s="82">
        <f t="shared" ref="I920:I922" si="768">IF(F920=0,"",F920+(F920*H920))</f>
        <v>2</v>
      </c>
      <c r="J920" s="34">
        <v>50</v>
      </c>
      <c r="K920" s="35">
        <f t="shared" ref="K920:K921" si="769">IF(F920=0,"",J920*I920)</f>
        <v>100</v>
      </c>
      <c r="L920" s="36">
        <f t="shared" si="699"/>
        <v>83</v>
      </c>
      <c r="M920" s="37">
        <v>0.5</v>
      </c>
      <c r="N920" s="37">
        <f t="shared" ref="N920:N921" si="770">IF(F920=0,"",M920*I920)</f>
        <v>1</v>
      </c>
      <c r="O920" s="35">
        <f t="shared" ref="O920:O922" si="771">IF(F920=0,"",N920*L920)</f>
        <v>83</v>
      </c>
      <c r="P920" s="38">
        <f t="shared" ref="P920:P922" si="772">IF(F920=0,"",K920+O920)</f>
        <v>183</v>
      </c>
      <c r="Q920" s="2"/>
    </row>
    <row r="921" spans="1:17" x14ac:dyDescent="0.25">
      <c r="A921" s="122" t="str">
        <f>IF(TRIM(G921)&lt;&gt;"",COUNTA(G$7:$G921)&amp;"","")</f>
        <v>754</v>
      </c>
      <c r="B921" s="123"/>
      <c r="C921" s="123"/>
      <c r="D921" s="222"/>
      <c r="E921" s="104" t="s">
        <v>1050</v>
      </c>
      <c r="F921" s="224">
        <v>1</v>
      </c>
      <c r="G921" s="125" t="s">
        <v>250</v>
      </c>
      <c r="H921" s="33">
        <v>0</v>
      </c>
      <c r="I921" s="82">
        <f t="shared" si="768"/>
        <v>1</v>
      </c>
      <c r="J921" s="34">
        <v>27.04</v>
      </c>
      <c r="K921" s="35">
        <f t="shared" si="769"/>
        <v>27.04</v>
      </c>
      <c r="L921" s="36">
        <f t="shared" si="699"/>
        <v>83</v>
      </c>
      <c r="M921" s="37">
        <v>0.35</v>
      </c>
      <c r="N921" s="37">
        <f t="shared" si="770"/>
        <v>0.35</v>
      </c>
      <c r="O921" s="35">
        <f t="shared" si="771"/>
        <v>29.049999999999997</v>
      </c>
      <c r="P921" s="38">
        <f t="shared" si="772"/>
        <v>56.089999999999996</v>
      </c>
      <c r="Q921" s="2"/>
    </row>
    <row r="922" spans="1:17" x14ac:dyDescent="0.25">
      <c r="A922" s="122" t="str">
        <f>IF(TRIM(G922)&lt;&gt;"",COUNTA(G$7:$G922)&amp;"","")</f>
        <v>755</v>
      </c>
      <c r="B922" s="123"/>
      <c r="C922" s="123"/>
      <c r="D922" s="222"/>
      <c r="E922" s="220" t="s">
        <v>1051</v>
      </c>
      <c r="F922" s="224">
        <v>1</v>
      </c>
      <c r="G922" s="125" t="s">
        <v>250</v>
      </c>
      <c r="H922" s="33">
        <v>0</v>
      </c>
      <c r="I922" s="82">
        <f t="shared" si="768"/>
        <v>1</v>
      </c>
      <c r="J922" s="34">
        <v>47.25</v>
      </c>
      <c r="K922" s="35">
        <f t="shared" si="698"/>
        <v>47.25</v>
      </c>
      <c r="L922" s="36">
        <f t="shared" si="699"/>
        <v>83</v>
      </c>
      <c r="M922" s="37">
        <v>0.4</v>
      </c>
      <c r="N922" s="37">
        <f t="shared" si="701"/>
        <v>0.4</v>
      </c>
      <c r="O922" s="35">
        <f t="shared" si="771"/>
        <v>33.200000000000003</v>
      </c>
      <c r="P922" s="38">
        <f t="shared" si="772"/>
        <v>80.45</v>
      </c>
      <c r="Q922" s="2"/>
    </row>
    <row r="923" spans="1:17" x14ac:dyDescent="0.25">
      <c r="A923" s="122" t="str">
        <f>IF(TRIM(G923)&lt;&gt;"",COUNTA(G$7:$G923)&amp;"","")</f>
        <v/>
      </c>
      <c r="B923" s="123"/>
      <c r="C923" s="123"/>
      <c r="D923" s="222"/>
      <c r="E923" s="220"/>
      <c r="F923" s="224"/>
      <c r="G923" s="125"/>
      <c r="H923" s="33" t="str">
        <f>IF(F923=0,"",0)</f>
        <v/>
      </c>
      <c r="I923" s="82" t="str">
        <f>IF(F923=0,"",F923+(F923*H923))</f>
        <v/>
      </c>
      <c r="J923" s="34"/>
      <c r="K923" s="35" t="str">
        <f t="shared" si="698"/>
        <v/>
      </c>
      <c r="L923" s="36" t="str">
        <f t="shared" si="699"/>
        <v/>
      </c>
      <c r="M923" s="37"/>
      <c r="N923" s="37" t="str">
        <f t="shared" si="701"/>
        <v/>
      </c>
      <c r="O923" s="35" t="str">
        <f>IF(F923=0,"",N923*L923)</f>
        <v/>
      </c>
      <c r="P923" s="38" t="str">
        <f>IF(F923=0,"",K923+O923)</f>
        <v/>
      </c>
      <c r="Q923" s="2"/>
    </row>
    <row r="924" spans="1:17" x14ac:dyDescent="0.25">
      <c r="A924" s="122" t="str">
        <f>IF(TRIM(G924)&lt;&gt;"",COUNTA(G$7:$G924)&amp;"","")</f>
        <v/>
      </c>
      <c r="B924" s="123"/>
      <c r="C924" s="123"/>
      <c r="D924" s="222"/>
      <c r="E924" s="223" t="s">
        <v>64</v>
      </c>
      <c r="F924" s="224"/>
      <c r="G924" s="125"/>
      <c r="H924" s="33" t="str">
        <f t="shared" si="695"/>
        <v/>
      </c>
      <c r="I924" s="82" t="str">
        <f t="shared" si="696"/>
        <v/>
      </c>
      <c r="J924" s="34"/>
      <c r="K924" s="35" t="str">
        <f t="shared" si="698"/>
        <v/>
      </c>
      <c r="L924" s="36" t="str">
        <f t="shared" si="699"/>
        <v/>
      </c>
      <c r="M924" s="37"/>
      <c r="N924" s="37" t="str">
        <f t="shared" si="701"/>
        <v/>
      </c>
      <c r="O924" s="35" t="str">
        <f t="shared" si="702"/>
        <v/>
      </c>
      <c r="P924" s="38" t="str">
        <f t="shared" si="703"/>
        <v/>
      </c>
      <c r="Q924" s="2"/>
    </row>
    <row r="925" spans="1:17" x14ac:dyDescent="0.25">
      <c r="A925" s="122" t="str">
        <f>IF(TRIM(G925)&lt;&gt;"",COUNTA(G$7:$G925)&amp;"","")</f>
        <v/>
      </c>
      <c r="B925" s="123"/>
      <c r="C925" s="123"/>
      <c r="D925" s="222"/>
      <c r="E925" s="226" t="s">
        <v>1052</v>
      </c>
      <c r="F925" s="224"/>
      <c r="G925" s="125"/>
      <c r="H925" s="33" t="str">
        <f t="shared" si="695"/>
        <v/>
      </c>
      <c r="I925" s="82" t="str">
        <f t="shared" si="696"/>
        <v/>
      </c>
      <c r="J925" s="34"/>
      <c r="K925" s="35" t="str">
        <f t="shared" si="698"/>
        <v/>
      </c>
      <c r="L925" s="36" t="str">
        <f t="shared" si="699"/>
        <v/>
      </c>
      <c r="M925" s="37"/>
      <c r="N925" s="37" t="str">
        <f t="shared" si="701"/>
        <v/>
      </c>
      <c r="O925" s="35" t="str">
        <f t="shared" si="702"/>
        <v/>
      </c>
      <c r="P925" s="38" t="str">
        <f t="shared" si="703"/>
        <v/>
      </c>
      <c r="Q925" s="2"/>
    </row>
    <row r="926" spans="1:17" x14ac:dyDescent="0.25">
      <c r="A926" s="122" t="str">
        <f>IF(TRIM(G926)&lt;&gt;"",COUNTA(G$7:$G926)&amp;"","")</f>
        <v>756</v>
      </c>
      <c r="B926" s="123"/>
      <c r="C926" s="123"/>
      <c r="D926" s="222"/>
      <c r="E926" s="220" t="s">
        <v>1053</v>
      </c>
      <c r="F926" s="224">
        <v>1</v>
      </c>
      <c r="G926" s="125" t="s">
        <v>250</v>
      </c>
      <c r="H926" s="33">
        <v>0</v>
      </c>
      <c r="I926" s="82">
        <f t="shared" si="696"/>
        <v>1</v>
      </c>
      <c r="J926" s="217"/>
      <c r="K926" s="35">
        <f t="shared" si="698"/>
        <v>0</v>
      </c>
      <c r="L926" s="36">
        <f t="shared" si="699"/>
        <v>83</v>
      </c>
      <c r="M926" s="37">
        <v>6.1</v>
      </c>
      <c r="N926" s="37">
        <f t="shared" si="701"/>
        <v>6.1</v>
      </c>
      <c r="O926" s="35">
        <f t="shared" si="702"/>
        <v>506.29999999999995</v>
      </c>
      <c r="P926" s="38">
        <f t="shared" si="703"/>
        <v>506.29999999999995</v>
      </c>
      <c r="Q926" s="2"/>
    </row>
    <row r="927" spans="1:17" x14ac:dyDescent="0.25">
      <c r="A927" s="122" t="str">
        <f>IF(TRIM(G927)&lt;&gt;"",COUNTA(G$7:$G927)&amp;"","")</f>
        <v>757</v>
      </c>
      <c r="B927" s="123"/>
      <c r="C927" s="123"/>
      <c r="D927" s="222"/>
      <c r="E927" s="220" t="s">
        <v>1054</v>
      </c>
      <c r="F927" s="224">
        <v>1</v>
      </c>
      <c r="G927" s="125" t="s">
        <v>250</v>
      </c>
      <c r="H927" s="33">
        <v>0</v>
      </c>
      <c r="I927" s="82">
        <f t="shared" si="696"/>
        <v>1</v>
      </c>
      <c r="J927" s="217"/>
      <c r="K927" s="35">
        <f t="shared" si="698"/>
        <v>0</v>
      </c>
      <c r="L927" s="36">
        <f t="shared" si="699"/>
        <v>83</v>
      </c>
      <c r="M927" s="37">
        <v>6.1</v>
      </c>
      <c r="N927" s="37">
        <f t="shared" si="701"/>
        <v>6.1</v>
      </c>
      <c r="O927" s="35">
        <f t="shared" si="702"/>
        <v>506.29999999999995</v>
      </c>
      <c r="P927" s="38">
        <f t="shared" si="703"/>
        <v>506.29999999999995</v>
      </c>
      <c r="Q927" s="2"/>
    </row>
    <row r="928" spans="1:17" x14ac:dyDescent="0.25">
      <c r="A928" s="122" t="str">
        <f>IF(TRIM(G928)&lt;&gt;"",COUNTA(G$7:$G928)&amp;"","")</f>
        <v>758</v>
      </c>
      <c r="B928" s="123"/>
      <c r="C928" s="123"/>
      <c r="D928" s="222"/>
      <c r="E928" s="220" t="s">
        <v>1055</v>
      </c>
      <c r="F928" s="224">
        <v>1</v>
      </c>
      <c r="G928" s="125" t="s">
        <v>250</v>
      </c>
      <c r="H928" s="33">
        <v>0</v>
      </c>
      <c r="I928" s="82">
        <f t="shared" si="696"/>
        <v>1</v>
      </c>
      <c r="J928" s="217"/>
      <c r="K928" s="35">
        <f t="shared" si="698"/>
        <v>0</v>
      </c>
      <c r="L928" s="36">
        <f t="shared" si="699"/>
        <v>83</v>
      </c>
      <c r="M928" s="37">
        <v>6.1</v>
      </c>
      <c r="N928" s="37">
        <f t="shared" si="701"/>
        <v>6.1</v>
      </c>
      <c r="O928" s="35">
        <f t="shared" si="702"/>
        <v>506.29999999999995</v>
      </c>
      <c r="P928" s="38">
        <f t="shared" si="703"/>
        <v>506.29999999999995</v>
      </c>
      <c r="Q928" s="2"/>
    </row>
    <row r="929" spans="1:17" x14ac:dyDescent="0.25">
      <c r="A929" s="122" t="str">
        <f>IF(TRIM(G929)&lt;&gt;"",COUNTA(G$7:$G929)&amp;"","")</f>
        <v>759</v>
      </c>
      <c r="B929" s="123"/>
      <c r="C929" s="123"/>
      <c r="D929" s="222"/>
      <c r="E929" s="220" t="s">
        <v>1056</v>
      </c>
      <c r="F929" s="224">
        <v>1</v>
      </c>
      <c r="G929" s="125" t="s">
        <v>250</v>
      </c>
      <c r="H929" s="33">
        <v>0</v>
      </c>
      <c r="I929" s="82">
        <f t="shared" si="696"/>
        <v>1</v>
      </c>
      <c r="J929" s="217"/>
      <c r="K929" s="35">
        <f t="shared" si="698"/>
        <v>0</v>
      </c>
      <c r="L929" s="36">
        <f t="shared" si="699"/>
        <v>83</v>
      </c>
      <c r="M929" s="37">
        <v>6.1</v>
      </c>
      <c r="N929" s="37">
        <f t="shared" si="701"/>
        <v>6.1</v>
      </c>
      <c r="O929" s="35">
        <f t="shared" si="702"/>
        <v>506.29999999999995</v>
      </c>
      <c r="P929" s="38">
        <f t="shared" si="703"/>
        <v>506.29999999999995</v>
      </c>
      <c r="Q929" s="2"/>
    </row>
    <row r="930" spans="1:17" x14ac:dyDescent="0.25">
      <c r="A930" s="122" t="str">
        <f>IF(TRIM(G930)&lt;&gt;"",COUNTA(G$7:$G930)&amp;"","")</f>
        <v>760</v>
      </c>
      <c r="B930" s="123"/>
      <c r="C930" s="123"/>
      <c r="D930" s="222"/>
      <c r="E930" s="220" t="s">
        <v>1057</v>
      </c>
      <c r="F930" s="224">
        <v>1</v>
      </c>
      <c r="G930" s="125" t="s">
        <v>250</v>
      </c>
      <c r="H930" s="33">
        <v>0</v>
      </c>
      <c r="I930" s="82">
        <f t="shared" si="696"/>
        <v>1</v>
      </c>
      <c r="J930" s="217"/>
      <c r="K930" s="35">
        <f t="shared" si="698"/>
        <v>0</v>
      </c>
      <c r="L930" s="36">
        <f t="shared" si="699"/>
        <v>83</v>
      </c>
      <c r="M930" s="37">
        <v>2.23</v>
      </c>
      <c r="N930" s="37">
        <f t="shared" si="701"/>
        <v>2.23</v>
      </c>
      <c r="O930" s="35">
        <f t="shared" si="702"/>
        <v>185.09</v>
      </c>
      <c r="P930" s="38">
        <f t="shared" si="703"/>
        <v>185.09</v>
      </c>
      <c r="Q930" s="2"/>
    </row>
    <row r="931" spans="1:17" x14ac:dyDescent="0.25">
      <c r="A931" s="122" t="str">
        <f>IF(TRIM(G931)&lt;&gt;"",COUNTA(G$7:$G931)&amp;"","")</f>
        <v>761</v>
      </c>
      <c r="B931" s="123"/>
      <c r="C931" s="123"/>
      <c r="D931" s="222"/>
      <c r="E931" s="220" t="s">
        <v>1058</v>
      </c>
      <c r="F931" s="224">
        <v>1</v>
      </c>
      <c r="G931" s="125" t="s">
        <v>250</v>
      </c>
      <c r="H931" s="33">
        <v>0</v>
      </c>
      <c r="I931" s="82">
        <f t="shared" si="696"/>
        <v>1</v>
      </c>
      <c r="J931" s="217"/>
      <c r="K931" s="35">
        <f t="shared" si="698"/>
        <v>0</v>
      </c>
      <c r="L931" s="36">
        <f t="shared" si="699"/>
        <v>83</v>
      </c>
      <c r="M931" s="37">
        <v>2.23</v>
      </c>
      <c r="N931" s="37">
        <f t="shared" si="701"/>
        <v>2.23</v>
      </c>
      <c r="O931" s="35">
        <f t="shared" si="702"/>
        <v>185.09</v>
      </c>
      <c r="P931" s="38">
        <f t="shared" si="703"/>
        <v>185.09</v>
      </c>
      <c r="Q931" s="2"/>
    </row>
    <row r="932" spans="1:17" x14ac:dyDescent="0.25">
      <c r="A932" s="122" t="str">
        <f>IF(TRIM(G932)&lt;&gt;"",COUNTA(G$7:$G932)&amp;"","")</f>
        <v>762</v>
      </c>
      <c r="B932" s="123"/>
      <c r="C932" s="123"/>
      <c r="D932" s="222"/>
      <c r="E932" s="220" t="s">
        <v>1059</v>
      </c>
      <c r="F932" s="224">
        <v>1</v>
      </c>
      <c r="G932" s="125" t="s">
        <v>250</v>
      </c>
      <c r="H932" s="33">
        <v>0</v>
      </c>
      <c r="I932" s="82">
        <f t="shared" si="696"/>
        <v>1</v>
      </c>
      <c r="J932" s="217"/>
      <c r="K932" s="35">
        <f t="shared" si="698"/>
        <v>0</v>
      </c>
      <c r="L932" s="36">
        <f t="shared" si="699"/>
        <v>83</v>
      </c>
      <c r="M932" s="37">
        <v>2.23</v>
      </c>
      <c r="N932" s="37">
        <f t="shared" si="701"/>
        <v>2.23</v>
      </c>
      <c r="O932" s="35">
        <f t="shared" si="702"/>
        <v>185.09</v>
      </c>
      <c r="P932" s="38">
        <f t="shared" si="703"/>
        <v>185.09</v>
      </c>
      <c r="Q932" s="2"/>
    </row>
    <row r="933" spans="1:17" x14ac:dyDescent="0.25">
      <c r="A933" s="122" t="str">
        <f>IF(TRIM(G933)&lt;&gt;"",COUNTA(G$7:$G933)&amp;"","")</f>
        <v/>
      </c>
      <c r="B933" s="123"/>
      <c r="C933" s="123"/>
      <c r="D933" s="222"/>
      <c r="E933" s="220"/>
      <c r="F933" s="224"/>
      <c r="G933" s="125"/>
      <c r="H933" s="33" t="str">
        <f t="shared" ref="H933:H934" si="773">IF(F933=0,"",0)</f>
        <v/>
      </c>
      <c r="I933" s="82" t="str">
        <f t="shared" si="696"/>
        <v/>
      </c>
      <c r="J933" s="34"/>
      <c r="K933" s="35" t="str">
        <f t="shared" si="698"/>
        <v/>
      </c>
      <c r="L933" s="36" t="str">
        <f t="shared" si="699"/>
        <v/>
      </c>
      <c r="M933" s="37"/>
      <c r="N933" s="37" t="str">
        <f t="shared" si="701"/>
        <v/>
      </c>
      <c r="O933" s="35" t="str">
        <f t="shared" si="702"/>
        <v/>
      </c>
      <c r="P933" s="38" t="str">
        <f t="shared" si="703"/>
        <v/>
      </c>
      <c r="Q933" s="2"/>
    </row>
    <row r="934" spans="1:17" x14ac:dyDescent="0.25">
      <c r="A934" s="122" t="str">
        <f>IF(TRIM(G934)&lt;&gt;"",COUNTA(G$7:$G934)&amp;"","")</f>
        <v/>
      </c>
      <c r="B934" s="123"/>
      <c r="C934" s="123"/>
      <c r="D934" s="222"/>
      <c r="E934" s="226" t="s">
        <v>1060</v>
      </c>
      <c r="F934" s="224"/>
      <c r="G934" s="125"/>
      <c r="H934" s="33" t="str">
        <f t="shared" si="773"/>
        <v/>
      </c>
      <c r="I934" s="82" t="str">
        <f t="shared" si="696"/>
        <v/>
      </c>
      <c r="J934" s="34"/>
      <c r="K934" s="35" t="str">
        <f t="shared" si="698"/>
        <v/>
      </c>
      <c r="L934" s="36" t="str">
        <f t="shared" si="699"/>
        <v/>
      </c>
      <c r="M934" s="37"/>
      <c r="N934" s="37" t="str">
        <f t="shared" si="701"/>
        <v/>
      </c>
      <c r="O934" s="35" t="str">
        <f t="shared" si="702"/>
        <v/>
      </c>
      <c r="P934" s="38" t="str">
        <f t="shared" si="703"/>
        <v/>
      </c>
      <c r="Q934" s="2"/>
    </row>
    <row r="935" spans="1:17" x14ac:dyDescent="0.25">
      <c r="A935" s="122" t="str">
        <f>IF(TRIM(G935)&lt;&gt;"",COUNTA(G$7:$G935)&amp;"","")</f>
        <v>763</v>
      </c>
      <c r="B935" s="123"/>
      <c r="C935" s="123"/>
      <c r="D935" s="222"/>
      <c r="E935" s="220" t="s">
        <v>1061</v>
      </c>
      <c r="F935" s="224">
        <v>1</v>
      </c>
      <c r="G935" s="125" t="s">
        <v>250</v>
      </c>
      <c r="H935" s="33">
        <v>0</v>
      </c>
      <c r="I935" s="82">
        <f t="shared" si="696"/>
        <v>1</v>
      </c>
      <c r="J935" s="217"/>
      <c r="K935" s="35">
        <f t="shared" si="698"/>
        <v>0</v>
      </c>
      <c r="L935" s="36">
        <f t="shared" si="699"/>
        <v>83</v>
      </c>
      <c r="M935" s="37">
        <v>1.05</v>
      </c>
      <c r="N935" s="37">
        <f t="shared" si="701"/>
        <v>1.05</v>
      </c>
      <c r="O935" s="35">
        <f t="shared" si="702"/>
        <v>87.15</v>
      </c>
      <c r="P935" s="38">
        <f t="shared" si="703"/>
        <v>87.15</v>
      </c>
      <c r="Q935" s="2"/>
    </row>
    <row r="936" spans="1:17" x14ac:dyDescent="0.25">
      <c r="A936" s="122" t="str">
        <f>IF(TRIM(G936)&lt;&gt;"",COUNTA(G$7:$G936)&amp;"","")</f>
        <v>764</v>
      </c>
      <c r="B936" s="123"/>
      <c r="C936" s="123"/>
      <c r="D936" s="222"/>
      <c r="E936" s="220" t="s">
        <v>1062</v>
      </c>
      <c r="F936" s="224">
        <v>1</v>
      </c>
      <c r="G936" s="125" t="s">
        <v>250</v>
      </c>
      <c r="H936" s="33">
        <v>0</v>
      </c>
      <c r="I936" s="82">
        <f t="shared" si="696"/>
        <v>1</v>
      </c>
      <c r="J936" s="217"/>
      <c r="K936" s="35">
        <f t="shared" si="698"/>
        <v>0</v>
      </c>
      <c r="L936" s="36">
        <f t="shared" si="699"/>
        <v>83</v>
      </c>
      <c r="M936" s="37">
        <v>1.05</v>
      </c>
      <c r="N936" s="37">
        <f t="shared" si="701"/>
        <v>1.05</v>
      </c>
      <c r="O936" s="35">
        <f t="shared" si="702"/>
        <v>87.15</v>
      </c>
      <c r="P936" s="38">
        <f t="shared" si="703"/>
        <v>87.15</v>
      </c>
      <c r="Q936" s="2"/>
    </row>
    <row r="937" spans="1:17" x14ac:dyDescent="0.25">
      <c r="A937" s="122" t="str">
        <f>IF(TRIM(G937)&lt;&gt;"",COUNTA(G$7:$G937)&amp;"","")</f>
        <v>765</v>
      </c>
      <c r="B937" s="123"/>
      <c r="C937" s="123"/>
      <c r="D937" s="222"/>
      <c r="E937" s="220" t="s">
        <v>1063</v>
      </c>
      <c r="F937" s="224">
        <v>1</v>
      </c>
      <c r="G937" s="125" t="s">
        <v>250</v>
      </c>
      <c r="H937" s="33">
        <v>0</v>
      </c>
      <c r="I937" s="82">
        <f t="shared" si="696"/>
        <v>1</v>
      </c>
      <c r="J937" s="217"/>
      <c r="K937" s="35">
        <f t="shared" si="698"/>
        <v>0</v>
      </c>
      <c r="L937" s="36">
        <f t="shared" si="699"/>
        <v>83</v>
      </c>
      <c r="M937" s="37">
        <v>1.05</v>
      </c>
      <c r="N937" s="37">
        <f t="shared" si="701"/>
        <v>1.05</v>
      </c>
      <c r="O937" s="35">
        <f t="shared" si="702"/>
        <v>87.15</v>
      </c>
      <c r="P937" s="38">
        <f t="shared" si="703"/>
        <v>87.15</v>
      </c>
      <c r="Q937" s="2"/>
    </row>
    <row r="938" spans="1:17" x14ac:dyDescent="0.25">
      <c r="A938" s="122" t="str">
        <f>IF(TRIM(G938)&lt;&gt;"",COUNTA(G$7:$G938)&amp;"","")</f>
        <v>766</v>
      </c>
      <c r="B938" s="123"/>
      <c r="C938" s="123"/>
      <c r="D938" s="222"/>
      <c r="E938" s="220" t="s">
        <v>1064</v>
      </c>
      <c r="F938" s="224">
        <v>1</v>
      </c>
      <c r="G938" s="125" t="s">
        <v>250</v>
      </c>
      <c r="H938" s="33">
        <v>0</v>
      </c>
      <c r="I938" s="82">
        <f t="shared" si="696"/>
        <v>1</v>
      </c>
      <c r="J938" s="217"/>
      <c r="K938" s="35">
        <f t="shared" si="698"/>
        <v>0</v>
      </c>
      <c r="L938" s="36">
        <f t="shared" si="699"/>
        <v>83</v>
      </c>
      <c r="M938" s="37">
        <v>1.05</v>
      </c>
      <c r="N938" s="37">
        <f t="shared" si="701"/>
        <v>1.05</v>
      </c>
      <c r="O938" s="35">
        <f t="shared" si="702"/>
        <v>87.15</v>
      </c>
      <c r="P938" s="38">
        <f t="shared" si="703"/>
        <v>87.15</v>
      </c>
      <c r="Q938" s="2"/>
    </row>
    <row r="939" spans="1:17" x14ac:dyDescent="0.25">
      <c r="A939" s="122" t="str">
        <f>IF(TRIM(G939)&lt;&gt;"",COUNTA(G$7:$G939)&amp;"","")</f>
        <v>767</v>
      </c>
      <c r="B939" s="123"/>
      <c r="C939" s="123"/>
      <c r="D939" s="222"/>
      <c r="E939" s="220" t="s">
        <v>1065</v>
      </c>
      <c r="F939" s="224">
        <v>1</v>
      </c>
      <c r="G939" s="125" t="s">
        <v>250</v>
      </c>
      <c r="H939" s="33">
        <v>0</v>
      </c>
      <c r="I939" s="82">
        <f t="shared" si="696"/>
        <v>1</v>
      </c>
      <c r="J939" s="217"/>
      <c r="K939" s="35">
        <f t="shared" si="698"/>
        <v>0</v>
      </c>
      <c r="L939" s="36">
        <f t="shared" si="699"/>
        <v>83</v>
      </c>
      <c r="M939" s="37">
        <v>1.05</v>
      </c>
      <c r="N939" s="37">
        <f t="shared" si="701"/>
        <v>1.05</v>
      </c>
      <c r="O939" s="35">
        <f t="shared" si="702"/>
        <v>87.15</v>
      </c>
      <c r="P939" s="38">
        <f t="shared" si="703"/>
        <v>87.15</v>
      </c>
      <c r="Q939" s="2"/>
    </row>
    <row r="940" spans="1:17" x14ac:dyDescent="0.25">
      <c r="A940" s="122" t="str">
        <f>IF(TRIM(G940)&lt;&gt;"",COUNTA(G$7:$G940)&amp;"","")</f>
        <v/>
      </c>
      <c r="B940" s="123"/>
      <c r="C940" s="123"/>
      <c r="D940" s="222"/>
      <c r="E940" s="220"/>
      <c r="F940" s="224"/>
      <c r="G940" s="125"/>
      <c r="H940" s="33" t="str">
        <f t="shared" ref="H940:H941" si="774">IF(F940=0,"",0)</f>
        <v/>
      </c>
      <c r="I940" s="82" t="str">
        <f t="shared" si="696"/>
        <v/>
      </c>
      <c r="J940" s="34"/>
      <c r="K940" s="35" t="str">
        <f t="shared" si="698"/>
        <v/>
      </c>
      <c r="L940" s="36" t="str">
        <f t="shared" si="699"/>
        <v/>
      </c>
      <c r="M940" s="37"/>
      <c r="N940" s="37" t="str">
        <f t="shared" si="701"/>
        <v/>
      </c>
      <c r="O940" s="35" t="str">
        <f t="shared" si="702"/>
        <v/>
      </c>
      <c r="P940" s="38" t="str">
        <f t="shared" si="703"/>
        <v/>
      </c>
      <c r="Q940" s="2"/>
    </row>
    <row r="941" spans="1:17" x14ac:dyDescent="0.25">
      <c r="A941" s="122" t="str">
        <f>IF(TRIM(G941)&lt;&gt;"",COUNTA(G$7:$G941)&amp;"","")</f>
        <v/>
      </c>
      <c r="B941" s="123"/>
      <c r="C941" s="123"/>
      <c r="D941" s="222"/>
      <c r="E941" s="223" t="s">
        <v>978</v>
      </c>
      <c r="F941" s="224"/>
      <c r="G941" s="125"/>
      <c r="H941" s="33" t="str">
        <f t="shared" si="774"/>
        <v/>
      </c>
      <c r="I941" s="82" t="str">
        <f t="shared" si="696"/>
        <v/>
      </c>
      <c r="J941" s="34"/>
      <c r="K941" s="35" t="str">
        <f t="shared" si="698"/>
        <v/>
      </c>
      <c r="L941" s="36" t="str">
        <f t="shared" si="699"/>
        <v/>
      </c>
      <c r="M941" s="37"/>
      <c r="N941" s="37" t="str">
        <f t="shared" si="701"/>
        <v/>
      </c>
      <c r="O941" s="35" t="str">
        <f t="shared" si="702"/>
        <v/>
      </c>
      <c r="P941" s="38" t="str">
        <f t="shared" si="703"/>
        <v/>
      </c>
      <c r="Q941" s="2"/>
    </row>
    <row r="942" spans="1:17" x14ac:dyDescent="0.25">
      <c r="A942" s="122" t="str">
        <f>IF(TRIM(G942)&lt;&gt;"",COUNTA(G$7:$G942)&amp;"","")</f>
        <v>768</v>
      </c>
      <c r="B942" s="123"/>
      <c r="C942" s="123"/>
      <c r="D942" s="222"/>
      <c r="E942" s="104" t="s">
        <v>1066</v>
      </c>
      <c r="F942" s="224">
        <v>24</v>
      </c>
      <c r="G942" s="125" t="s">
        <v>228</v>
      </c>
      <c r="H942" s="33">
        <v>0.1</v>
      </c>
      <c r="I942" s="82">
        <f>IF(F942=0,"",F942+(F942*H942))</f>
        <v>26.4</v>
      </c>
      <c r="J942" s="34">
        <v>4.55</v>
      </c>
      <c r="K942" s="35">
        <f>IF(F942=0,"",J942*I942)</f>
        <v>120.11999999999999</v>
      </c>
      <c r="L942" s="36">
        <f t="shared" si="699"/>
        <v>83</v>
      </c>
      <c r="M942" s="37">
        <v>0.11</v>
      </c>
      <c r="N942" s="37">
        <f>IF(F942=0,"",M942*I942)</f>
        <v>2.9039999999999999</v>
      </c>
      <c r="O942" s="35">
        <f>IF(F942=0,"",N942*L942)</f>
        <v>241.03199999999998</v>
      </c>
      <c r="P942" s="38">
        <f>IF(F942=0,"",K942+O942)</f>
        <v>361.15199999999999</v>
      </c>
      <c r="Q942" s="2"/>
    </row>
    <row r="943" spans="1:17" x14ac:dyDescent="0.25">
      <c r="A943" s="122" t="str">
        <f>IF(TRIM(G943)&lt;&gt;"",COUNTA(G$7:$G943)&amp;"","")</f>
        <v>769</v>
      </c>
      <c r="B943" s="123"/>
      <c r="C943" s="123"/>
      <c r="D943" s="222"/>
      <c r="E943" s="104" t="s">
        <v>1067</v>
      </c>
      <c r="F943" s="224">
        <v>12</v>
      </c>
      <c r="G943" s="125" t="s">
        <v>228</v>
      </c>
      <c r="H943" s="33">
        <v>0.1</v>
      </c>
      <c r="I943" s="82">
        <f t="shared" ref="I943" si="775">IF(F943=0,"",F943+(F943*H943))</f>
        <v>13.2</v>
      </c>
      <c r="J943" s="34">
        <v>4.55</v>
      </c>
      <c r="K943" s="35">
        <f t="shared" ref="K943" si="776">IF(F943=0,"",J943*I943)</f>
        <v>60.059999999999995</v>
      </c>
      <c r="L943" s="36">
        <f t="shared" si="699"/>
        <v>83</v>
      </c>
      <c r="M943" s="37">
        <v>0.11</v>
      </c>
      <c r="N943" s="37">
        <f t="shared" ref="N943" si="777">IF(F943=0,"",M943*I943)</f>
        <v>1.452</v>
      </c>
      <c r="O943" s="35">
        <f t="shared" ref="O943" si="778">IF(F943=0,"",N943*L943)</f>
        <v>120.51599999999999</v>
      </c>
      <c r="P943" s="38">
        <f t="shared" ref="P943" si="779">IF(F943=0,"",K943+O943)</f>
        <v>180.57599999999999</v>
      </c>
      <c r="Q943" s="2"/>
    </row>
    <row r="944" spans="1:17" x14ac:dyDescent="0.25">
      <c r="A944" s="122" t="str">
        <f>IF(TRIM(G944)&lt;&gt;"",COUNTA(G$7:$G944)&amp;"","")</f>
        <v>770</v>
      </c>
      <c r="B944" s="123"/>
      <c r="C944" s="123"/>
      <c r="D944" s="222"/>
      <c r="E944" s="104" t="s">
        <v>1068</v>
      </c>
      <c r="F944" s="224">
        <v>2</v>
      </c>
      <c r="G944" s="125" t="s">
        <v>250</v>
      </c>
      <c r="H944" s="33">
        <v>0</v>
      </c>
      <c r="I944" s="82">
        <f>IF(F944=0,"",F944+(F944*H944))</f>
        <v>2</v>
      </c>
      <c r="J944" s="34">
        <v>4.79</v>
      </c>
      <c r="K944" s="35">
        <f>IF(F944=0,"",J944*I944)</f>
        <v>9.58</v>
      </c>
      <c r="L944" s="36">
        <f t="shared" si="699"/>
        <v>83</v>
      </c>
      <c r="M944" s="37">
        <v>4.3999999999999997E-2</v>
      </c>
      <c r="N944" s="37">
        <f>IF(F944=0,"",M944*I944)</f>
        <v>8.7999999999999995E-2</v>
      </c>
      <c r="O944" s="35">
        <f>IF(F944=0,"",N944*L944)</f>
        <v>7.3039999999999994</v>
      </c>
      <c r="P944" s="38">
        <f>IF(F944=0,"",K944+O944)</f>
        <v>16.884</v>
      </c>
      <c r="Q944" s="2"/>
    </row>
    <row r="945" spans="1:17" x14ac:dyDescent="0.25">
      <c r="A945" s="122" t="str">
        <f>IF(TRIM(G945)&lt;&gt;"",COUNTA(G$7:$G945)&amp;"","")</f>
        <v>771</v>
      </c>
      <c r="B945" s="123"/>
      <c r="C945" s="123"/>
      <c r="D945" s="222"/>
      <c r="E945" s="104" t="s">
        <v>1069</v>
      </c>
      <c r="F945" s="224">
        <v>4</v>
      </c>
      <c r="G945" s="125" t="s">
        <v>250</v>
      </c>
      <c r="H945" s="33">
        <v>0</v>
      </c>
      <c r="I945" s="82">
        <f>IF(F945=0,"",F945+(F945*H945))</f>
        <v>4</v>
      </c>
      <c r="J945" s="34">
        <v>133.11000000000001</v>
      </c>
      <c r="K945" s="35">
        <f>IF(F945=0,"",J945*I945)</f>
        <v>532.44000000000005</v>
      </c>
      <c r="L945" s="36">
        <f t="shared" si="699"/>
        <v>83</v>
      </c>
      <c r="M945" s="37">
        <v>0.87</v>
      </c>
      <c r="N945" s="37">
        <f>IF(F945=0,"",M945*I945)</f>
        <v>3.48</v>
      </c>
      <c r="O945" s="35">
        <f>IF(F945=0,"",N945*L945)</f>
        <v>288.83999999999997</v>
      </c>
      <c r="P945" s="38">
        <f>IF(F945=0,"",K945+O945)</f>
        <v>821.28</v>
      </c>
      <c r="Q945" s="2"/>
    </row>
    <row r="946" spans="1:17" x14ac:dyDescent="0.25">
      <c r="A946" s="122" t="str">
        <f>IF(TRIM(G946)&lt;&gt;"",COUNTA(G$7:$G946)&amp;"","")</f>
        <v>772</v>
      </c>
      <c r="B946" s="123"/>
      <c r="C946" s="123"/>
      <c r="D946" s="222"/>
      <c r="E946" s="104" t="s">
        <v>1070</v>
      </c>
      <c r="F946" s="224">
        <v>4</v>
      </c>
      <c r="G946" s="125" t="s">
        <v>250</v>
      </c>
      <c r="H946" s="33">
        <v>0</v>
      </c>
      <c r="I946" s="82">
        <f t="shared" ref="I946" si="780">IF(F946=0,"",F946+(F946*H946))</f>
        <v>4</v>
      </c>
      <c r="J946" s="34">
        <v>39.9</v>
      </c>
      <c r="K946" s="35">
        <f t="shared" ref="K946" si="781">IF(F946=0,"",J946*I946)</f>
        <v>159.6</v>
      </c>
      <c r="L946" s="36">
        <f t="shared" si="699"/>
        <v>83</v>
      </c>
      <c r="M946" s="37">
        <v>0.16</v>
      </c>
      <c r="N946" s="37">
        <f t="shared" ref="N946" si="782">IF(F946=0,"",M946*I946)</f>
        <v>0.64</v>
      </c>
      <c r="O946" s="35">
        <f t="shared" ref="O946" si="783">IF(F946=0,"",N946*L946)</f>
        <v>53.120000000000005</v>
      </c>
      <c r="P946" s="38">
        <f t="shared" ref="P946" si="784">IF(F946=0,"",K946+O946)</f>
        <v>212.72</v>
      </c>
      <c r="Q946" s="2"/>
    </row>
    <row r="947" spans="1:17" x14ac:dyDescent="0.25">
      <c r="A947" s="122" t="str">
        <f>IF(TRIM(G947)&lt;&gt;"",COUNTA(G$7:$G947)&amp;"","")</f>
        <v>773</v>
      </c>
      <c r="B947" s="123"/>
      <c r="C947" s="123"/>
      <c r="D947" s="222"/>
      <c r="E947" s="104" t="s">
        <v>1071</v>
      </c>
      <c r="F947" s="224">
        <v>65.63</v>
      </c>
      <c r="G947" s="125" t="s">
        <v>228</v>
      </c>
      <c r="H947" s="33">
        <v>0.1</v>
      </c>
      <c r="I947" s="82">
        <f>IF(F947=0,"",F947+(F947*H947))</f>
        <v>72.192999999999998</v>
      </c>
      <c r="J947" s="34">
        <v>0.19</v>
      </c>
      <c r="K947" s="35">
        <f>IF(F947=0,"",J947*I947)</f>
        <v>13.716670000000001</v>
      </c>
      <c r="L947" s="36">
        <f t="shared" si="699"/>
        <v>83</v>
      </c>
      <c r="M947" s="37">
        <v>0.01</v>
      </c>
      <c r="N947" s="37">
        <f>IF(F947=0,"",M947*I947)</f>
        <v>0.72192999999999996</v>
      </c>
      <c r="O947" s="35">
        <f>IF(F947=0,"",N947*L947)</f>
        <v>59.920189999999998</v>
      </c>
      <c r="P947" s="38">
        <f>IF(F947=0,"",K947+O947)</f>
        <v>73.636859999999999</v>
      </c>
      <c r="Q947" s="2"/>
    </row>
    <row r="948" spans="1:17" x14ac:dyDescent="0.25">
      <c r="A948" s="122" t="str">
        <f>IF(TRIM(G948)&lt;&gt;"",COUNTA(G$7:$G948)&amp;"","")</f>
        <v>774</v>
      </c>
      <c r="B948" s="123"/>
      <c r="C948" s="123"/>
      <c r="D948" s="222"/>
      <c r="E948" s="104" t="s">
        <v>1072</v>
      </c>
      <c r="F948" s="224">
        <v>10</v>
      </c>
      <c r="G948" s="125" t="s">
        <v>250</v>
      </c>
      <c r="H948" s="33">
        <v>0</v>
      </c>
      <c r="I948" s="82">
        <f t="shared" si="696"/>
        <v>10</v>
      </c>
      <c r="J948" s="34">
        <v>44</v>
      </c>
      <c r="K948" s="35">
        <f t="shared" si="698"/>
        <v>440</v>
      </c>
      <c r="L948" s="36">
        <f t="shared" si="699"/>
        <v>83</v>
      </c>
      <c r="M948" s="37">
        <v>0.55000000000000004</v>
      </c>
      <c r="N948" s="37">
        <f t="shared" si="701"/>
        <v>5.5</v>
      </c>
      <c r="O948" s="35">
        <f t="shared" si="702"/>
        <v>456.5</v>
      </c>
      <c r="P948" s="38">
        <f t="shared" si="703"/>
        <v>896.5</v>
      </c>
      <c r="Q948" s="2"/>
    </row>
    <row r="949" spans="1:17" x14ac:dyDescent="0.25">
      <c r="A949" s="122" t="str">
        <f>IF(TRIM(G949)&lt;&gt;"",COUNTA(G$7:$G949)&amp;"","")</f>
        <v/>
      </c>
      <c r="B949" s="123"/>
      <c r="C949" s="123"/>
      <c r="D949" s="222"/>
      <c r="E949" s="104"/>
      <c r="F949" s="224"/>
      <c r="G949" s="125"/>
      <c r="H949" s="33" t="str">
        <f t="shared" ref="H949" si="785">IF(F949=0,"",0)</f>
        <v/>
      </c>
      <c r="I949" s="82" t="str">
        <f t="shared" si="696"/>
        <v/>
      </c>
      <c r="J949" s="34"/>
      <c r="K949" s="35" t="str">
        <f t="shared" si="698"/>
        <v/>
      </c>
      <c r="L949" s="36" t="str">
        <f t="shared" si="699"/>
        <v/>
      </c>
      <c r="M949" s="37"/>
      <c r="N949" s="37" t="str">
        <f t="shared" si="701"/>
        <v/>
      </c>
      <c r="O949" s="35" t="str">
        <f t="shared" si="702"/>
        <v/>
      </c>
      <c r="P949" s="38" t="str">
        <f t="shared" si="703"/>
        <v/>
      </c>
      <c r="Q949" s="2"/>
    </row>
    <row r="950" spans="1:17" x14ac:dyDescent="0.25">
      <c r="A950" s="122" t="str">
        <f>IF(TRIM(G950)&lt;&gt;"",COUNTA(G$7:$G950)&amp;"","")</f>
        <v/>
      </c>
      <c r="B950" s="123"/>
      <c r="C950" s="123"/>
      <c r="D950" s="222"/>
      <c r="E950" s="223" t="s">
        <v>797</v>
      </c>
      <c r="F950" s="224"/>
      <c r="G950" s="125"/>
      <c r="H950" s="33" t="str">
        <f t="shared" si="695"/>
        <v/>
      </c>
      <c r="I950" s="82" t="str">
        <f t="shared" si="696"/>
        <v/>
      </c>
      <c r="J950" s="34"/>
      <c r="K950" s="35" t="str">
        <f t="shared" si="698"/>
        <v/>
      </c>
      <c r="L950" s="36" t="str">
        <f t="shared" si="699"/>
        <v/>
      </c>
      <c r="M950" s="37"/>
      <c r="N950" s="37" t="str">
        <f t="shared" si="701"/>
        <v/>
      </c>
      <c r="O950" s="35" t="str">
        <f t="shared" si="702"/>
        <v/>
      </c>
      <c r="P950" s="38" t="str">
        <f t="shared" si="703"/>
        <v/>
      </c>
      <c r="Q950" s="2"/>
    </row>
    <row r="951" spans="1:17" x14ac:dyDescent="0.25">
      <c r="A951" s="122" t="str">
        <f>IF(TRIM(G951)&lt;&gt;"",COUNTA(G$7:$G951)&amp;"","")</f>
        <v/>
      </c>
      <c r="B951" s="123"/>
      <c r="C951" s="123"/>
      <c r="D951" s="222"/>
      <c r="E951" s="241" t="s">
        <v>1073</v>
      </c>
      <c r="F951" s="224"/>
      <c r="G951" s="125"/>
      <c r="H951" s="33"/>
      <c r="I951" s="82" t="str">
        <f t="shared" si="696"/>
        <v/>
      </c>
      <c r="J951" s="34"/>
      <c r="K951" s="35" t="str">
        <f t="shared" si="698"/>
        <v/>
      </c>
      <c r="L951" s="36" t="str">
        <f t="shared" si="699"/>
        <v/>
      </c>
      <c r="M951" s="37"/>
      <c r="N951" s="37" t="str">
        <f t="shared" si="701"/>
        <v/>
      </c>
      <c r="O951" s="35" t="str">
        <f t="shared" si="702"/>
        <v/>
      </c>
      <c r="P951" s="38" t="str">
        <f t="shared" si="703"/>
        <v/>
      </c>
      <c r="Q951" s="2"/>
    </row>
    <row r="952" spans="1:17" x14ac:dyDescent="0.25">
      <c r="A952" s="122" t="str">
        <f>IF(TRIM(G952)&lt;&gt;"",COUNTA(G$7:$G952)&amp;"","")</f>
        <v/>
      </c>
      <c r="B952" s="123"/>
      <c r="C952" s="123"/>
      <c r="D952" s="222"/>
      <c r="E952" s="241" t="s">
        <v>1074</v>
      </c>
      <c r="F952" s="224"/>
      <c r="G952" s="125"/>
      <c r="H952" s="33"/>
      <c r="I952" s="82" t="str">
        <f t="shared" si="696"/>
        <v/>
      </c>
      <c r="J952" s="34"/>
      <c r="K952" s="35" t="str">
        <f t="shared" si="698"/>
        <v/>
      </c>
      <c r="L952" s="36" t="str">
        <f t="shared" si="699"/>
        <v/>
      </c>
      <c r="M952" s="37"/>
      <c r="N952" s="37" t="str">
        <f t="shared" si="701"/>
        <v/>
      </c>
      <c r="O952" s="35" t="str">
        <f t="shared" si="702"/>
        <v/>
      </c>
      <c r="P952" s="38" t="str">
        <f t="shared" si="703"/>
        <v/>
      </c>
      <c r="Q952" s="2"/>
    </row>
    <row r="953" spans="1:17" ht="15.75" thickBot="1" x14ac:dyDescent="0.3">
      <c r="A953" s="122" t="str">
        <f>IF(TRIM(G953)&lt;&gt;"",COUNTA(G$9:$G953)&amp;"","")</f>
        <v/>
      </c>
      <c r="B953" s="126"/>
      <c r="C953" s="126"/>
      <c r="D953" s="50"/>
      <c r="E953" s="127"/>
      <c r="F953" s="124"/>
      <c r="G953" s="125"/>
      <c r="H953" s="33" t="str">
        <f t="shared" si="695"/>
        <v/>
      </c>
      <c r="I953" s="82" t="str">
        <f t="shared" si="696"/>
        <v/>
      </c>
      <c r="J953" s="34" t="str">
        <f t="shared" si="697"/>
        <v/>
      </c>
      <c r="K953" s="35" t="str">
        <f t="shared" si="698"/>
        <v/>
      </c>
      <c r="L953" s="36" t="str">
        <f t="shared" si="699"/>
        <v/>
      </c>
      <c r="M953" s="37" t="str">
        <f t="shared" si="700"/>
        <v/>
      </c>
      <c r="N953" s="37" t="str">
        <f t="shared" si="701"/>
        <v/>
      </c>
      <c r="O953" s="35" t="str">
        <f t="shared" si="702"/>
        <v/>
      </c>
      <c r="P953" s="38" t="str">
        <f t="shared" si="703"/>
        <v/>
      </c>
      <c r="Q953" s="2"/>
    </row>
    <row r="954" spans="1:17" s="3" customFormat="1" ht="16.5" thickBot="1" x14ac:dyDescent="0.3">
      <c r="A954" s="122" t="str">
        <f>IF(TRIM(G954)&lt;&gt;"",COUNTA(G$9:$G954)&amp;"","")</f>
        <v/>
      </c>
      <c r="B954" s="53"/>
      <c r="C954" s="53"/>
      <c r="D954" s="54"/>
      <c r="E954" s="29"/>
      <c r="F954" s="124"/>
      <c r="G954" s="129"/>
      <c r="H954" s="151" t="s">
        <v>12</v>
      </c>
      <c r="I954" s="152"/>
      <c r="J954" s="68">
        <f>SUM(K$849:K$953)</f>
        <v>27748.082129999995</v>
      </c>
      <c r="K954" s="390" t="s">
        <v>13</v>
      </c>
      <c r="L954" s="391"/>
      <c r="M954" s="69">
        <f>SUM(O$849:O$953)</f>
        <v>28565.519123000005</v>
      </c>
      <c r="N954" s="390" t="s">
        <v>43</v>
      </c>
      <c r="O954" s="391"/>
      <c r="P954" s="70">
        <f>SUM(N$849:N$953)</f>
        <v>344.1628810000002</v>
      </c>
      <c r="Q954" s="71">
        <f>SUM(P$849:P$953)</f>
        <v>56313.601253000008</v>
      </c>
    </row>
    <row r="955" spans="1:17" ht="20.100000000000001" customHeight="1" x14ac:dyDescent="0.25">
      <c r="A955" s="153" t="str">
        <f>IF(TRIM(G955)&lt;&gt;"",COUNTA(G$9:$G955)&amp;"","")</f>
        <v/>
      </c>
      <c r="B955" s="31"/>
      <c r="C955" s="162" t="s">
        <v>192</v>
      </c>
      <c r="D955" s="154" t="s">
        <v>209</v>
      </c>
      <c r="E955" s="154" t="s">
        <v>212</v>
      </c>
      <c r="F955" s="78"/>
      <c r="G955" s="79"/>
      <c r="H955" s="31"/>
      <c r="I955" s="79"/>
      <c r="J955" s="31"/>
      <c r="K955" s="31"/>
      <c r="L955" s="31"/>
      <c r="M955" s="31"/>
      <c r="N955" s="31"/>
      <c r="O955" s="31"/>
      <c r="P955" s="31"/>
      <c r="Q955" s="155"/>
    </row>
    <row r="956" spans="1:17" x14ac:dyDescent="0.25">
      <c r="A956" s="122" t="str">
        <f>IF(TRIM(G956)&lt;&gt;"",COUNTA(G$9:$G956)&amp;"","")</f>
        <v/>
      </c>
      <c r="B956" s="123"/>
      <c r="C956" s="123"/>
      <c r="D956" s="50"/>
      <c r="E956" s="89"/>
      <c r="F956" s="124"/>
      <c r="G956" s="125"/>
      <c r="H956" s="33" t="str">
        <f t="shared" ref="H956:H959" si="786">IF(F956=0,"",0)</f>
        <v/>
      </c>
      <c r="I956" s="82" t="str">
        <f t="shared" ref="I956:I959" si="787">IF(F956=0,"",F956+(F956*H956))</f>
        <v/>
      </c>
      <c r="J956" s="34" t="str">
        <f t="shared" ref="J956:J959" si="788">IF(F956=0,"",0)</f>
        <v/>
      </c>
      <c r="K956" s="35" t="str">
        <f t="shared" ref="K956:K959" si="789">IF(F956=0,"",J956*I956)</f>
        <v/>
      </c>
      <c r="L956" s="36" t="str">
        <f t="shared" ref="L956:L961" si="790">IF(F956=0,"",L$583)</f>
        <v/>
      </c>
      <c r="M956" s="37" t="str">
        <f t="shared" ref="M956:M959" si="791">IF(F956=0,"",0)</f>
        <v/>
      </c>
      <c r="N956" s="37" t="str">
        <f t="shared" ref="N956:N959" si="792">IF(F956=0,"",M956*I956)</f>
        <v/>
      </c>
      <c r="O956" s="35" t="str">
        <f t="shared" ref="O956:O959" si="793">IF(F956=0,"",N956*L956)</f>
        <v/>
      </c>
      <c r="P956" s="38" t="str">
        <f t="shared" ref="P956:P959" si="794">IF(F956=0,"",K956+O956)</f>
        <v/>
      </c>
      <c r="Q956" s="2"/>
    </row>
    <row r="957" spans="1:17" x14ac:dyDescent="0.25">
      <c r="A957" s="122" t="str">
        <f>IF(TRIM(G957)&lt;&gt;"",COUNTA(G$9:$G957)&amp;"","")</f>
        <v/>
      </c>
      <c r="B957" s="123"/>
      <c r="C957" s="123"/>
      <c r="D957" s="50"/>
      <c r="E957" s="164" t="s">
        <v>244</v>
      </c>
      <c r="F957" s="124"/>
      <c r="G957" s="125"/>
      <c r="H957" s="33" t="str">
        <f t="shared" si="786"/>
        <v/>
      </c>
      <c r="I957" s="82" t="str">
        <f t="shared" si="787"/>
        <v/>
      </c>
      <c r="J957" s="34" t="str">
        <f t="shared" si="788"/>
        <v/>
      </c>
      <c r="K957" s="35" t="str">
        <f t="shared" si="789"/>
        <v/>
      </c>
      <c r="L957" s="36" t="str">
        <f t="shared" si="790"/>
        <v/>
      </c>
      <c r="M957" s="37" t="str">
        <f t="shared" si="791"/>
        <v/>
      </c>
      <c r="N957" s="37" t="str">
        <f t="shared" si="792"/>
        <v/>
      </c>
      <c r="O957" s="35" t="str">
        <f t="shared" si="793"/>
        <v/>
      </c>
      <c r="P957" s="38" t="str">
        <f t="shared" si="794"/>
        <v/>
      </c>
      <c r="Q957" s="2"/>
    </row>
    <row r="958" spans="1:17" x14ac:dyDescent="0.25">
      <c r="A958" s="122" t="str">
        <f>IF(TRIM(G958)&lt;&gt;"",COUNTA(G$9:$G958)&amp;"","")</f>
        <v/>
      </c>
      <c r="B958" s="123"/>
      <c r="C958" s="123"/>
      <c r="D958" s="50"/>
      <c r="E958" s="89"/>
      <c r="F958" s="124"/>
      <c r="G958" s="125"/>
      <c r="H958" s="33" t="str">
        <f t="shared" si="786"/>
        <v/>
      </c>
      <c r="I958" s="82" t="str">
        <f t="shared" si="787"/>
        <v/>
      </c>
      <c r="J958" s="34" t="str">
        <f t="shared" si="788"/>
        <v/>
      </c>
      <c r="K958" s="35" t="str">
        <f t="shared" si="789"/>
        <v/>
      </c>
      <c r="L958" s="36" t="str">
        <f t="shared" si="790"/>
        <v/>
      </c>
      <c r="M958" s="37" t="str">
        <f t="shared" si="791"/>
        <v/>
      </c>
      <c r="N958" s="37" t="str">
        <f t="shared" si="792"/>
        <v/>
      </c>
      <c r="O958" s="35" t="str">
        <f t="shared" si="793"/>
        <v/>
      </c>
      <c r="P958" s="38" t="str">
        <f t="shared" si="794"/>
        <v/>
      </c>
      <c r="Q958" s="2"/>
    </row>
    <row r="959" spans="1:17" x14ac:dyDescent="0.25">
      <c r="A959" s="122" t="str">
        <f>IF(TRIM(G959)&lt;&gt;"",COUNTA(G$9:$G959)&amp;"","")</f>
        <v/>
      </c>
      <c r="B959" s="123"/>
      <c r="C959" s="123"/>
      <c r="D959" s="50"/>
      <c r="E959" s="89"/>
      <c r="F959" s="124"/>
      <c r="G959" s="125"/>
      <c r="H959" s="33" t="str">
        <f t="shared" si="786"/>
        <v/>
      </c>
      <c r="I959" s="82" t="str">
        <f t="shared" si="787"/>
        <v/>
      </c>
      <c r="J959" s="34" t="str">
        <f t="shared" si="788"/>
        <v/>
      </c>
      <c r="K959" s="35" t="str">
        <f t="shared" si="789"/>
        <v/>
      </c>
      <c r="L959" s="36" t="str">
        <f t="shared" si="790"/>
        <v/>
      </c>
      <c r="M959" s="37" t="str">
        <f t="shared" si="791"/>
        <v/>
      </c>
      <c r="N959" s="37" t="str">
        <f t="shared" si="792"/>
        <v/>
      </c>
      <c r="O959" s="35" t="str">
        <f t="shared" si="793"/>
        <v/>
      </c>
      <c r="P959" s="38" t="str">
        <f t="shared" si="794"/>
        <v/>
      </c>
      <c r="Q959" s="2"/>
    </row>
    <row r="960" spans="1:17" x14ac:dyDescent="0.25">
      <c r="A960" s="122" t="str">
        <f>IF(TRIM(G960)&lt;&gt;"",COUNTA(G$9:$G960)&amp;"","")</f>
        <v/>
      </c>
      <c r="B960" s="123"/>
      <c r="C960" s="123"/>
      <c r="D960" s="50"/>
      <c r="E960" s="89"/>
      <c r="F960" s="124"/>
      <c r="G960" s="125"/>
      <c r="H960" s="33" t="str">
        <f t="shared" ref="H960:H961" si="795">IF(F960=0,"",0)</f>
        <v/>
      </c>
      <c r="I960" s="82" t="str">
        <f t="shared" ref="I960:I961" si="796">IF(F960=0,"",F960+(F960*H960))</f>
        <v/>
      </c>
      <c r="J960" s="34" t="str">
        <f t="shared" ref="J960:J961" si="797">IF(F960=0,"",0)</f>
        <v/>
      </c>
      <c r="K960" s="35" t="str">
        <f t="shared" ref="K960:K961" si="798">IF(F960=0,"",J960*I960)</f>
        <v/>
      </c>
      <c r="L960" s="36" t="str">
        <f t="shared" si="790"/>
        <v/>
      </c>
      <c r="M960" s="37" t="str">
        <f t="shared" ref="M960:M961" si="799">IF(F960=0,"",0)</f>
        <v/>
      </c>
      <c r="N960" s="37" t="str">
        <f t="shared" ref="N960:N961" si="800">IF(F960=0,"",M960*I960)</f>
        <v/>
      </c>
      <c r="O960" s="35" t="str">
        <f t="shared" ref="O960:O961" si="801">IF(F960=0,"",N960*L960)</f>
        <v/>
      </c>
      <c r="P960" s="38" t="str">
        <f t="shared" ref="P960:P961" si="802">IF(F960=0,"",K960+O960)</f>
        <v/>
      </c>
      <c r="Q960" s="2"/>
    </row>
    <row r="961" spans="1:17" ht="15.75" thickBot="1" x14ac:dyDescent="0.3">
      <c r="A961" s="122" t="str">
        <f>IF(TRIM(G961)&lt;&gt;"",COUNTA(G$9:$G961)&amp;"","")</f>
        <v/>
      </c>
      <c r="B961" s="126"/>
      <c r="C961" s="126"/>
      <c r="D961" s="50"/>
      <c r="E961" s="127"/>
      <c r="F961" s="124"/>
      <c r="G961" s="125"/>
      <c r="H961" s="33" t="str">
        <f t="shared" si="795"/>
        <v/>
      </c>
      <c r="I961" s="82" t="str">
        <f t="shared" si="796"/>
        <v/>
      </c>
      <c r="J961" s="34" t="str">
        <f t="shared" si="797"/>
        <v/>
      </c>
      <c r="K961" s="35" t="str">
        <f t="shared" si="798"/>
        <v/>
      </c>
      <c r="L961" s="36" t="str">
        <f t="shared" si="790"/>
        <v/>
      </c>
      <c r="M961" s="37" t="str">
        <f t="shared" si="799"/>
        <v/>
      </c>
      <c r="N961" s="37" t="str">
        <f t="shared" si="800"/>
        <v/>
      </c>
      <c r="O961" s="35" t="str">
        <f t="shared" si="801"/>
        <v/>
      </c>
      <c r="P961" s="38" t="str">
        <f t="shared" si="802"/>
        <v/>
      </c>
      <c r="Q961" s="2"/>
    </row>
    <row r="962" spans="1:17" s="3" customFormat="1" ht="16.5" thickBot="1" x14ac:dyDescent="0.3">
      <c r="A962" s="179" t="str">
        <f>IF(TRIM(G962)&lt;&gt;"",COUNTA(G$9:$G962)&amp;"","")</f>
        <v/>
      </c>
      <c r="B962" s="53"/>
      <c r="C962" s="53"/>
      <c r="D962" s="54"/>
      <c r="E962" s="29"/>
      <c r="F962" s="188"/>
      <c r="G962" s="189"/>
      <c r="H962" s="182" t="s">
        <v>12</v>
      </c>
      <c r="I962" s="183"/>
      <c r="J962" s="184">
        <f>SUM(K$956:K$961)</f>
        <v>0</v>
      </c>
      <c r="K962" s="415" t="s">
        <v>13</v>
      </c>
      <c r="L962" s="416"/>
      <c r="M962" s="185">
        <f>SUM(O$956:O$961)</f>
        <v>0</v>
      </c>
      <c r="N962" s="415" t="s">
        <v>43</v>
      </c>
      <c r="O962" s="416"/>
      <c r="P962" s="186">
        <f>SUM(N$956:N$961)</f>
        <v>0</v>
      </c>
      <c r="Q962" s="187">
        <f>SUM(P$956:P$961)</f>
        <v>0</v>
      </c>
    </row>
    <row r="963" spans="1:17" ht="30" customHeight="1" thickBot="1" x14ac:dyDescent="0.3">
      <c r="A963" s="173" t="str">
        <f>IF(TRIM(G963)&lt;&gt;"",COUNTA(G$9:$G963)&amp;"","")</f>
        <v/>
      </c>
      <c r="B963" s="177"/>
      <c r="C963" s="174"/>
      <c r="D963" s="174"/>
      <c r="E963" s="175" t="s">
        <v>245</v>
      </c>
      <c r="F963" s="176"/>
      <c r="G963" s="176"/>
      <c r="H963" s="177"/>
      <c r="I963" s="176"/>
      <c r="J963" s="177"/>
      <c r="K963" s="177"/>
      <c r="L963" s="172">
        <f>'Bid Recap &amp; Summary'!L$40</f>
        <v>73.03</v>
      </c>
      <c r="M963" s="177"/>
      <c r="N963" s="177"/>
      <c r="O963" s="177"/>
      <c r="P963" s="177"/>
      <c r="Q963" s="178"/>
    </row>
    <row r="964" spans="1:17" ht="20.100000000000001" customHeight="1" x14ac:dyDescent="0.25">
      <c r="A964" s="153" t="str">
        <f>IF(TRIM(G964)&lt;&gt;"",COUNTA(G$9:$G964)&amp;"","")</f>
        <v/>
      </c>
      <c r="B964" s="31"/>
      <c r="C964" s="162" t="s">
        <v>192</v>
      </c>
      <c r="D964" s="165" t="s">
        <v>67</v>
      </c>
      <c r="E964" s="165" t="s">
        <v>68</v>
      </c>
      <c r="F964" s="78"/>
      <c r="G964" s="79"/>
      <c r="H964" s="31"/>
      <c r="I964" s="79"/>
      <c r="J964" s="31"/>
      <c r="K964" s="31"/>
      <c r="L964" s="31"/>
      <c r="M964" s="31"/>
      <c r="N964" s="31"/>
      <c r="O964" s="31"/>
      <c r="P964" s="31"/>
      <c r="Q964" s="155"/>
    </row>
    <row r="965" spans="1:17" s="28" customFormat="1" ht="19.149999999999999" customHeight="1" x14ac:dyDescent="0.25">
      <c r="A965" s="122" t="str">
        <f>IF(TRIM(G965)&lt;&gt;"",COUNTA(G$9:$G965)&amp;"","")</f>
        <v/>
      </c>
      <c r="B965" s="49"/>
      <c r="C965" s="49"/>
      <c r="D965" s="50" t="s">
        <v>137</v>
      </c>
      <c r="E965" s="156" t="s">
        <v>136</v>
      </c>
      <c r="F965" s="124"/>
      <c r="G965" s="125"/>
      <c r="H965" s="33" t="str">
        <f>IF(F965=0,"",0)</f>
        <v/>
      </c>
      <c r="I965" s="82" t="str">
        <f t="shared" ref="I965" si="803">IF(F965=0,"",F965+(F965*H965))</f>
        <v/>
      </c>
      <c r="J965" s="34" t="str">
        <f>IF(F965=0,"",0)</f>
        <v/>
      </c>
      <c r="K965" s="35" t="str">
        <f>IF(F965=0,"",J965*I965)</f>
        <v/>
      </c>
      <c r="L965" s="36" t="str">
        <f t="shared" ref="L965:L976" si="804">IF(F965=0,"",L$963)</f>
        <v/>
      </c>
      <c r="M965" s="37" t="str">
        <f>IF(F965=0,"",0)</f>
        <v/>
      </c>
      <c r="N965" s="37" t="str">
        <f>IF(F965=0,"",M965*I965)</f>
        <v/>
      </c>
      <c r="O965" s="35" t="str">
        <f>IF(F965=0,"",N965*L965)</f>
        <v/>
      </c>
      <c r="P965" s="38" t="str">
        <f>IF(F965=0,"",K965+O965)</f>
        <v/>
      </c>
      <c r="Q965" s="39"/>
    </row>
    <row r="966" spans="1:17" x14ac:dyDescent="0.25">
      <c r="A966" s="122" t="str">
        <f>IF(TRIM(G966)&lt;&gt;"",COUNTA(G$9:$G966)&amp;"","")</f>
        <v>775</v>
      </c>
      <c r="B966" s="123" t="s">
        <v>256</v>
      </c>
      <c r="C966" s="123" t="s">
        <v>256</v>
      </c>
      <c r="D966" s="50"/>
      <c r="E966" s="111" t="s">
        <v>230</v>
      </c>
      <c r="F966" s="124">
        <v>33542</v>
      </c>
      <c r="G966" s="125" t="s">
        <v>214</v>
      </c>
      <c r="H966" s="33">
        <f t="shared" ref="H966:H989" si="805">IF(F966=0,"",0)</f>
        <v>0</v>
      </c>
      <c r="I966" s="82">
        <f t="shared" ref="I966:I989" si="806">IF(F966=0,"",F966+(F966*H966))</f>
        <v>33542</v>
      </c>
      <c r="J966" s="34">
        <f t="shared" ref="J966:J989" si="807">IF(F966=0,"",0)</f>
        <v>0</v>
      </c>
      <c r="K966" s="35">
        <f t="shared" ref="K966:K989" si="808">IF(F966=0,"",J966*I966)</f>
        <v>0</v>
      </c>
      <c r="L966" s="36">
        <f t="shared" si="804"/>
        <v>73.03</v>
      </c>
      <c r="M966" s="216">
        <v>2E-3</v>
      </c>
      <c r="N966" s="37">
        <f t="shared" ref="N966:N989" si="809">IF(F966=0,"",M966*I966)</f>
        <v>67.084000000000003</v>
      </c>
      <c r="O966" s="35">
        <f t="shared" ref="O966:O989" si="810">IF(F966=0,"",N966*L966)</f>
        <v>4899.1445200000007</v>
      </c>
      <c r="P966" s="38">
        <f t="shared" ref="P966:P989" si="811">IF(F966=0,"",K966+O966)</f>
        <v>4899.1445200000007</v>
      </c>
      <c r="Q966" s="2"/>
    </row>
    <row r="967" spans="1:17" s="28" customFormat="1" ht="19.149999999999999" customHeight="1" x14ac:dyDescent="0.25">
      <c r="A967" s="122" t="str">
        <f>IF(TRIM(G967)&lt;&gt;"",COUNTA(G$9:$G967)&amp;"","")</f>
        <v/>
      </c>
      <c r="B967" s="49"/>
      <c r="C967" s="49"/>
      <c r="D967" s="50" t="s">
        <v>139</v>
      </c>
      <c r="E967" s="156" t="s">
        <v>138</v>
      </c>
      <c r="F967" s="124"/>
      <c r="G967" s="125"/>
      <c r="H967" s="33" t="str">
        <f t="shared" si="805"/>
        <v/>
      </c>
      <c r="I967" s="82" t="str">
        <f t="shared" si="806"/>
        <v/>
      </c>
      <c r="J967" s="34" t="str">
        <f t="shared" si="807"/>
        <v/>
      </c>
      <c r="K967" s="35" t="str">
        <f t="shared" si="808"/>
        <v/>
      </c>
      <c r="L967" s="36" t="str">
        <f t="shared" si="804"/>
        <v/>
      </c>
      <c r="M967" s="37" t="str">
        <f t="shared" ref="M967:M989" si="812">IF(F967=0,"",0)</f>
        <v/>
      </c>
      <c r="N967" s="37" t="str">
        <f t="shared" si="809"/>
        <v/>
      </c>
      <c r="O967" s="35" t="str">
        <f t="shared" si="810"/>
        <v/>
      </c>
      <c r="P967" s="38" t="str">
        <f t="shared" si="811"/>
        <v/>
      </c>
      <c r="Q967" s="39"/>
    </row>
    <row r="968" spans="1:17" x14ac:dyDescent="0.25">
      <c r="A968" s="122" t="str">
        <f>IF(TRIM(G968)&lt;&gt;"",COUNTA(G$9:$G968)&amp;"","")</f>
        <v>776</v>
      </c>
      <c r="B968" s="123" t="s">
        <v>256</v>
      </c>
      <c r="C968" s="123" t="s">
        <v>256</v>
      </c>
      <c r="D968" s="50"/>
      <c r="E968" s="89" t="s">
        <v>231</v>
      </c>
      <c r="F968" s="124">
        <f>(F971+F973+F975+F977+F979)-(F972+F974+F976+F978)</f>
        <v>702</v>
      </c>
      <c r="G968" s="125" t="s">
        <v>232</v>
      </c>
      <c r="H968" s="33">
        <f t="shared" si="805"/>
        <v>0</v>
      </c>
      <c r="I968" s="82">
        <f t="shared" si="806"/>
        <v>702</v>
      </c>
      <c r="J968" s="34">
        <f t="shared" si="807"/>
        <v>0</v>
      </c>
      <c r="K968" s="35">
        <f t="shared" si="808"/>
        <v>0</v>
      </c>
      <c r="L968" s="36">
        <f t="shared" si="804"/>
        <v>73.03</v>
      </c>
      <c r="M968" s="37">
        <v>1.05</v>
      </c>
      <c r="N968" s="37">
        <f t="shared" si="809"/>
        <v>737.1</v>
      </c>
      <c r="O968" s="35">
        <f t="shared" si="810"/>
        <v>53830.413</v>
      </c>
      <c r="P968" s="38">
        <f t="shared" si="811"/>
        <v>53830.413</v>
      </c>
      <c r="Q968" s="2"/>
    </row>
    <row r="969" spans="1:17" x14ac:dyDescent="0.25">
      <c r="A969" s="122" t="str">
        <f>IF(TRIM(G969)&lt;&gt;"",COUNTA(G$9:$G969)&amp;"","")</f>
        <v>777</v>
      </c>
      <c r="B969" s="123" t="s">
        <v>256</v>
      </c>
      <c r="C969" s="123" t="s">
        <v>256</v>
      </c>
      <c r="D969" s="50"/>
      <c r="E969" s="89" t="s">
        <v>374</v>
      </c>
      <c r="F969" s="124">
        <f>939.7</f>
        <v>939.7</v>
      </c>
      <c r="G969" s="125" t="s">
        <v>232</v>
      </c>
      <c r="H969" s="33">
        <f t="shared" si="805"/>
        <v>0</v>
      </c>
      <c r="I969" s="82">
        <f t="shared" si="806"/>
        <v>939.7</v>
      </c>
      <c r="J969" s="34">
        <v>29.59</v>
      </c>
      <c r="K969" s="35">
        <f t="shared" si="808"/>
        <v>27805.723000000002</v>
      </c>
      <c r="L969" s="36">
        <f t="shared" si="804"/>
        <v>73.03</v>
      </c>
      <c r="M969" s="37">
        <v>2.3E-2</v>
      </c>
      <c r="N969" s="37">
        <f t="shared" si="809"/>
        <v>21.613099999999999</v>
      </c>
      <c r="O969" s="35">
        <f t="shared" si="810"/>
        <v>1578.404693</v>
      </c>
      <c r="P969" s="38">
        <f t="shared" si="811"/>
        <v>29384.127693000002</v>
      </c>
      <c r="Q969" s="2"/>
    </row>
    <row r="970" spans="1:17" s="28" customFormat="1" ht="19.149999999999999" customHeight="1" x14ac:dyDescent="0.25">
      <c r="A970" s="122" t="str">
        <f>IF(TRIM(G970)&lt;&gt;"",COUNTA(G$9:$G970)&amp;"","")</f>
        <v/>
      </c>
      <c r="B970" s="49"/>
      <c r="C970" s="49"/>
      <c r="D970" s="50" t="s">
        <v>141</v>
      </c>
      <c r="E970" s="156" t="s">
        <v>140</v>
      </c>
      <c r="F970" s="124"/>
      <c r="G970" s="125"/>
      <c r="H970" s="33" t="str">
        <f t="shared" si="805"/>
        <v/>
      </c>
      <c r="I970" s="82" t="str">
        <f t="shared" si="806"/>
        <v/>
      </c>
      <c r="J970" s="34" t="str">
        <f t="shared" si="807"/>
        <v/>
      </c>
      <c r="K970" s="35" t="str">
        <f t="shared" si="808"/>
        <v/>
      </c>
      <c r="L970" s="36" t="str">
        <f t="shared" si="804"/>
        <v/>
      </c>
      <c r="M970" s="37" t="str">
        <f t="shared" si="812"/>
        <v/>
      </c>
      <c r="N970" s="37" t="str">
        <f t="shared" si="809"/>
        <v/>
      </c>
      <c r="O970" s="35" t="str">
        <f t="shared" si="810"/>
        <v/>
      </c>
      <c r="P970" s="38" t="str">
        <f t="shared" si="811"/>
        <v/>
      </c>
      <c r="Q970" s="39"/>
    </row>
    <row r="971" spans="1:17" x14ac:dyDescent="0.25">
      <c r="A971" s="122" t="str">
        <f>IF(TRIM(G971)&lt;&gt;"",COUNTA(G$9:$G971)&amp;"","")</f>
        <v>778</v>
      </c>
      <c r="B971" s="123" t="s">
        <v>256</v>
      </c>
      <c r="C971" s="123" t="s">
        <v>256</v>
      </c>
      <c r="D971" s="50"/>
      <c r="E971" s="89" t="s">
        <v>233</v>
      </c>
      <c r="F971" s="124">
        <v>168</v>
      </c>
      <c r="G971" s="125" t="s">
        <v>232</v>
      </c>
      <c r="H971" s="33">
        <f t="shared" si="805"/>
        <v>0</v>
      </c>
      <c r="I971" s="82">
        <f t="shared" si="806"/>
        <v>168</v>
      </c>
      <c r="J971" s="34">
        <v>29.59</v>
      </c>
      <c r="K971" s="35">
        <f t="shared" si="808"/>
        <v>4971.12</v>
      </c>
      <c r="L971" s="36">
        <f t="shared" si="804"/>
        <v>73.03</v>
      </c>
      <c r="M971" s="37">
        <v>0.08</v>
      </c>
      <c r="N971" s="37">
        <f t="shared" si="809"/>
        <v>13.44</v>
      </c>
      <c r="O971" s="35">
        <f t="shared" si="810"/>
        <v>981.52319999999997</v>
      </c>
      <c r="P971" s="38">
        <f t="shared" si="811"/>
        <v>5952.6431999999995</v>
      </c>
      <c r="Q971" s="2"/>
    </row>
    <row r="972" spans="1:17" x14ac:dyDescent="0.25">
      <c r="A972" s="122" t="str">
        <f>IF(TRIM(G972)&lt;&gt;"",COUNTA(G$9:$G972)&amp;"","")</f>
        <v>779</v>
      </c>
      <c r="B972" s="123" t="s">
        <v>256</v>
      </c>
      <c r="C972" s="123" t="s">
        <v>256</v>
      </c>
      <c r="D972" s="50"/>
      <c r="E972" s="89" t="s">
        <v>234</v>
      </c>
      <c r="F972" s="124">
        <v>134</v>
      </c>
      <c r="G972" s="125" t="s">
        <v>232</v>
      </c>
      <c r="H972" s="33">
        <f t="shared" si="805"/>
        <v>0</v>
      </c>
      <c r="I972" s="82">
        <f t="shared" si="806"/>
        <v>134</v>
      </c>
      <c r="J972" s="34">
        <f t="shared" si="807"/>
        <v>0</v>
      </c>
      <c r="K972" s="35">
        <f t="shared" si="808"/>
        <v>0</v>
      </c>
      <c r="L972" s="36">
        <f t="shared" si="804"/>
        <v>73.03</v>
      </c>
      <c r="M972" s="37">
        <v>0.72699999999999998</v>
      </c>
      <c r="N972" s="37">
        <f t="shared" si="809"/>
        <v>97.417999999999992</v>
      </c>
      <c r="O972" s="35">
        <f t="shared" si="810"/>
        <v>7114.4365399999997</v>
      </c>
      <c r="P972" s="38">
        <f t="shared" si="811"/>
        <v>7114.4365399999997</v>
      </c>
      <c r="Q972" s="2"/>
    </row>
    <row r="973" spans="1:17" x14ac:dyDescent="0.25">
      <c r="A973" s="122" t="str">
        <f>IF(TRIM(G973)&lt;&gt;"",COUNTA(G$9:$G973)&amp;"","")</f>
        <v>780</v>
      </c>
      <c r="B973" s="123" t="s">
        <v>256</v>
      </c>
      <c r="C973" s="123" t="s">
        <v>256</v>
      </c>
      <c r="D973" s="50"/>
      <c r="E973" s="89" t="s">
        <v>327</v>
      </c>
      <c r="F973" s="124">
        <v>137</v>
      </c>
      <c r="G973" s="125" t="s">
        <v>232</v>
      </c>
      <c r="H973" s="33">
        <f t="shared" si="805"/>
        <v>0</v>
      </c>
      <c r="I973" s="82">
        <f t="shared" si="806"/>
        <v>137</v>
      </c>
      <c r="J973" s="34">
        <f t="shared" si="807"/>
        <v>0</v>
      </c>
      <c r="K973" s="35">
        <f t="shared" si="808"/>
        <v>0</v>
      </c>
      <c r="L973" s="36">
        <f t="shared" si="804"/>
        <v>73.03</v>
      </c>
      <c r="M973" s="37">
        <v>0.08</v>
      </c>
      <c r="N973" s="37">
        <f t="shared" si="809"/>
        <v>10.96</v>
      </c>
      <c r="O973" s="35">
        <f t="shared" si="810"/>
        <v>800.40880000000004</v>
      </c>
      <c r="P973" s="38">
        <f t="shared" si="811"/>
        <v>800.40880000000004</v>
      </c>
      <c r="Q973" s="2"/>
    </row>
    <row r="974" spans="1:17" x14ac:dyDescent="0.25">
      <c r="A974" s="122" t="str">
        <f>IF(TRIM(G974)&lt;&gt;"",COUNTA(G$9:$G974)&amp;"","")</f>
        <v>781</v>
      </c>
      <c r="B974" s="123" t="s">
        <v>256</v>
      </c>
      <c r="C974" s="123" t="s">
        <v>256</v>
      </c>
      <c r="D974" s="50"/>
      <c r="E974" s="89" t="s">
        <v>328</v>
      </c>
      <c r="F974" s="124">
        <f>F973-5</f>
        <v>132</v>
      </c>
      <c r="G974" s="125" t="s">
        <v>232</v>
      </c>
      <c r="H974" s="33">
        <f t="shared" si="805"/>
        <v>0</v>
      </c>
      <c r="I974" s="82">
        <f t="shared" si="806"/>
        <v>132</v>
      </c>
      <c r="J974" s="34">
        <f t="shared" si="807"/>
        <v>0</v>
      </c>
      <c r="K974" s="35">
        <f t="shared" si="808"/>
        <v>0</v>
      </c>
      <c r="L974" s="36">
        <f t="shared" si="804"/>
        <v>73.03</v>
      </c>
      <c r="M974" s="37">
        <v>0.72699999999999998</v>
      </c>
      <c r="N974" s="37">
        <f t="shared" si="809"/>
        <v>95.963999999999999</v>
      </c>
      <c r="O974" s="35">
        <f t="shared" si="810"/>
        <v>7008.2509200000004</v>
      </c>
      <c r="P974" s="38">
        <f t="shared" si="811"/>
        <v>7008.2509200000004</v>
      </c>
      <c r="Q974" s="2"/>
    </row>
    <row r="975" spans="1:17" x14ac:dyDescent="0.25">
      <c r="A975" s="122" t="str">
        <f>IF(TRIM(G975)&lt;&gt;"",COUNTA(G$9:$G975)&amp;"","")</f>
        <v>782</v>
      </c>
      <c r="B975" s="123" t="s">
        <v>256</v>
      </c>
      <c r="C975" s="123" t="s">
        <v>256</v>
      </c>
      <c r="D975" s="50"/>
      <c r="E975" s="89" t="s">
        <v>320</v>
      </c>
      <c r="F975" s="124">
        <v>148</v>
      </c>
      <c r="G975" s="125" t="s">
        <v>232</v>
      </c>
      <c r="H975" s="33">
        <f t="shared" si="805"/>
        <v>0</v>
      </c>
      <c r="I975" s="82">
        <f t="shared" si="806"/>
        <v>148</v>
      </c>
      <c r="J975" s="34">
        <f t="shared" si="807"/>
        <v>0</v>
      </c>
      <c r="K975" s="35">
        <f t="shared" si="808"/>
        <v>0</v>
      </c>
      <c r="L975" s="36">
        <f t="shared" si="804"/>
        <v>73.03</v>
      </c>
      <c r="M975" s="37">
        <v>0.08</v>
      </c>
      <c r="N975" s="37">
        <f t="shared" si="809"/>
        <v>11.84</v>
      </c>
      <c r="O975" s="35">
        <f t="shared" si="810"/>
        <v>864.67520000000002</v>
      </c>
      <c r="P975" s="38">
        <f t="shared" si="811"/>
        <v>864.67520000000002</v>
      </c>
      <c r="Q975" s="2"/>
    </row>
    <row r="976" spans="1:17" x14ac:dyDescent="0.25">
      <c r="A976" s="122" t="str">
        <f>IF(TRIM(G976)&lt;&gt;"",COUNTA(G$9:$G976)&amp;"","")</f>
        <v>783</v>
      </c>
      <c r="B976" s="123" t="s">
        <v>256</v>
      </c>
      <c r="C976" s="123" t="s">
        <v>256</v>
      </c>
      <c r="D976" s="50"/>
      <c r="E976" s="89" t="s">
        <v>321</v>
      </c>
      <c r="F976" s="124">
        <f>F975-7</f>
        <v>141</v>
      </c>
      <c r="G976" s="125" t="s">
        <v>232</v>
      </c>
      <c r="H976" s="33">
        <f t="shared" si="805"/>
        <v>0</v>
      </c>
      <c r="I976" s="82">
        <f t="shared" si="806"/>
        <v>141</v>
      </c>
      <c r="J976" s="34">
        <f t="shared" si="807"/>
        <v>0</v>
      </c>
      <c r="K976" s="35">
        <f t="shared" si="808"/>
        <v>0</v>
      </c>
      <c r="L976" s="36">
        <f t="shared" si="804"/>
        <v>73.03</v>
      </c>
      <c r="M976" s="37">
        <v>0.72699999999999998</v>
      </c>
      <c r="N976" s="37">
        <f t="shared" si="809"/>
        <v>102.50699999999999</v>
      </c>
      <c r="O976" s="35">
        <f t="shared" si="810"/>
        <v>7486.0862099999995</v>
      </c>
      <c r="P976" s="38">
        <f t="shared" si="811"/>
        <v>7486.0862099999995</v>
      </c>
      <c r="Q976" s="2"/>
    </row>
    <row r="977" spans="1:17" x14ac:dyDescent="0.25">
      <c r="A977" s="122" t="str">
        <f>IF(TRIM(G977)&lt;&gt;"",COUNTA(G$9:$G977)&amp;"","")</f>
        <v>784</v>
      </c>
      <c r="B977" s="123" t="s">
        <v>256</v>
      </c>
      <c r="C977" s="123" t="s">
        <v>256</v>
      </c>
      <c r="D977" s="50"/>
      <c r="E977" s="89" t="s">
        <v>341</v>
      </c>
      <c r="F977" s="124">
        <v>120</v>
      </c>
      <c r="G977" s="125" t="s">
        <v>232</v>
      </c>
      <c r="H977" s="33">
        <f t="shared" ref="H977:H978" si="813">IF(F977=0,"",0)</f>
        <v>0</v>
      </c>
      <c r="I977" s="82">
        <f t="shared" ref="I977:I978" si="814">IF(F977=0,"",F977+(F977*H977))</f>
        <v>120</v>
      </c>
      <c r="J977" s="34">
        <f t="shared" ref="J977:J978" si="815">IF(F977=0,"",0)</f>
        <v>0</v>
      </c>
      <c r="K977" s="35">
        <f t="shared" ref="K977:K978" si="816">IF(F977=0,"",J977*I977)</f>
        <v>0</v>
      </c>
      <c r="L977" s="36">
        <f t="shared" ref="L977:L978" si="817">IF(F977=0,"",L$963)</f>
        <v>73.03</v>
      </c>
      <c r="M977" s="37">
        <v>0.08</v>
      </c>
      <c r="N977" s="37">
        <f t="shared" ref="N977:N978" si="818">IF(F977=0,"",M977*I977)</f>
        <v>9.6</v>
      </c>
      <c r="O977" s="35">
        <f t="shared" ref="O977:O978" si="819">IF(F977=0,"",N977*L977)</f>
        <v>701.08799999999997</v>
      </c>
      <c r="P977" s="38">
        <f t="shared" ref="P977:P978" si="820">IF(F977=0,"",K977+O977)</f>
        <v>701.08799999999997</v>
      </c>
      <c r="Q977" s="2"/>
    </row>
    <row r="978" spans="1:17" x14ac:dyDescent="0.25">
      <c r="A978" s="122" t="str">
        <f>IF(TRIM(G978)&lt;&gt;"",COUNTA(G$9:$G978)&amp;"","")</f>
        <v>785</v>
      </c>
      <c r="B978" s="123" t="s">
        <v>256</v>
      </c>
      <c r="C978" s="123" t="s">
        <v>256</v>
      </c>
      <c r="D978" s="50"/>
      <c r="E978" s="89" t="s">
        <v>342</v>
      </c>
      <c r="F978" s="124">
        <f>F977-7</f>
        <v>113</v>
      </c>
      <c r="G978" s="125" t="s">
        <v>232</v>
      </c>
      <c r="H978" s="33">
        <f t="shared" si="813"/>
        <v>0</v>
      </c>
      <c r="I978" s="82">
        <f t="shared" si="814"/>
        <v>113</v>
      </c>
      <c r="J978" s="34">
        <f t="shared" si="815"/>
        <v>0</v>
      </c>
      <c r="K978" s="35">
        <f t="shared" si="816"/>
        <v>0</v>
      </c>
      <c r="L978" s="36">
        <f t="shared" si="817"/>
        <v>73.03</v>
      </c>
      <c r="M978" s="37">
        <v>0.72699999999999998</v>
      </c>
      <c r="N978" s="37">
        <f t="shared" si="818"/>
        <v>82.150999999999996</v>
      </c>
      <c r="O978" s="35">
        <f t="shared" si="819"/>
        <v>5999.4875299999994</v>
      </c>
      <c r="P978" s="38">
        <f t="shared" si="820"/>
        <v>5999.4875299999994</v>
      </c>
      <c r="Q978" s="2"/>
    </row>
    <row r="979" spans="1:17" x14ac:dyDescent="0.25">
      <c r="A979" s="122" t="str">
        <f>IF(TRIM(G979)&lt;&gt;"",COUNTA(G$9:$G979)&amp;"","")</f>
        <v>786</v>
      </c>
      <c r="B979" s="123" t="s">
        <v>256</v>
      </c>
      <c r="C979" s="123" t="s">
        <v>256</v>
      </c>
      <c r="D979" s="50"/>
      <c r="E979" s="89" t="s">
        <v>319</v>
      </c>
      <c r="F979" s="124">
        <v>649</v>
      </c>
      <c r="G979" s="125" t="s">
        <v>232</v>
      </c>
      <c r="H979" s="33">
        <f t="shared" si="805"/>
        <v>0</v>
      </c>
      <c r="I979" s="82">
        <f t="shared" si="806"/>
        <v>649</v>
      </c>
      <c r="J979" s="34">
        <f t="shared" si="807"/>
        <v>0</v>
      </c>
      <c r="K979" s="35">
        <f t="shared" si="808"/>
        <v>0</v>
      </c>
      <c r="L979" s="36">
        <f>IF(F979=0,"",L$963)</f>
        <v>73.03</v>
      </c>
      <c r="M979" s="37">
        <v>0.08</v>
      </c>
      <c r="N979" s="37">
        <f t="shared" si="809"/>
        <v>51.92</v>
      </c>
      <c r="O979" s="35">
        <f t="shared" si="810"/>
        <v>3791.7176000000004</v>
      </c>
      <c r="P979" s="38">
        <f t="shared" si="811"/>
        <v>3791.7176000000004</v>
      </c>
      <c r="Q979" s="2"/>
    </row>
    <row r="980" spans="1:17" x14ac:dyDescent="0.25">
      <c r="A980" s="122" t="str">
        <f>IF(TRIM(G980)&lt;&gt;"",COUNTA(G$9:$G980)&amp;"","")</f>
        <v>787</v>
      </c>
      <c r="B980" s="123" t="s">
        <v>256</v>
      </c>
      <c r="C980" s="123" t="s">
        <v>256</v>
      </c>
      <c r="D980" s="50"/>
      <c r="E980" s="89" t="s">
        <v>257</v>
      </c>
      <c r="F980" s="124">
        <v>1407.44</v>
      </c>
      <c r="G980" s="125" t="s">
        <v>232</v>
      </c>
      <c r="H980" s="33">
        <f t="shared" ref="H980" si="821">IF(F980=0,"",0)</f>
        <v>0</v>
      </c>
      <c r="I980" s="82">
        <f t="shared" ref="I980" si="822">IF(F980=0,"",F980+(F980*H980))</f>
        <v>1407.44</v>
      </c>
      <c r="J980" s="34">
        <f t="shared" ref="J980" si="823">IF(F980=0,"",0)</f>
        <v>0</v>
      </c>
      <c r="K980" s="35">
        <f t="shared" ref="K980" si="824">IF(F980=0,"",J980*I980)</f>
        <v>0</v>
      </c>
      <c r="L980" s="36">
        <f t="shared" ref="L980" si="825">IF(F980=0,"",L$963)</f>
        <v>73.03</v>
      </c>
      <c r="M980" s="37">
        <v>0.08</v>
      </c>
      <c r="N980" s="37">
        <f t="shared" ref="N980" si="826">IF(F980=0,"",M980*I980)</f>
        <v>112.59520000000001</v>
      </c>
      <c r="O980" s="35">
        <f t="shared" ref="O980" si="827">IF(F980=0,"",N980*L980)</f>
        <v>8222.8274560000009</v>
      </c>
      <c r="P980" s="38">
        <f t="shared" ref="P980" si="828">IF(F980=0,"",K980+O980)</f>
        <v>8222.8274560000009</v>
      </c>
      <c r="Q980" s="2"/>
    </row>
    <row r="981" spans="1:17" x14ac:dyDescent="0.25">
      <c r="A981" s="122" t="str">
        <f>IF(TRIM(G981)&lt;&gt;"",COUNTA(G$9:$G981)&amp;"","")</f>
        <v>788</v>
      </c>
      <c r="B981" s="123" t="s">
        <v>256</v>
      </c>
      <c r="C981" s="123" t="s">
        <v>256</v>
      </c>
      <c r="D981" s="50"/>
      <c r="E981" s="89" t="s">
        <v>258</v>
      </c>
      <c r="F981" s="124">
        <v>2347.14</v>
      </c>
      <c r="G981" s="125" t="s">
        <v>232</v>
      </c>
      <c r="H981" s="33">
        <f t="shared" si="805"/>
        <v>0</v>
      </c>
      <c r="I981" s="82">
        <f t="shared" si="806"/>
        <v>2347.14</v>
      </c>
      <c r="J981" s="34">
        <f t="shared" si="807"/>
        <v>0</v>
      </c>
      <c r="K981" s="35">
        <f t="shared" si="808"/>
        <v>0</v>
      </c>
      <c r="L981" s="36">
        <f>IF(F981=0,"",L$963)</f>
        <v>73.03</v>
      </c>
      <c r="M981" s="37">
        <v>0.72699999999999998</v>
      </c>
      <c r="N981" s="37">
        <f t="shared" si="809"/>
        <v>1706.37078</v>
      </c>
      <c r="O981" s="35">
        <f t="shared" si="810"/>
        <v>124616.2580634</v>
      </c>
      <c r="P981" s="38">
        <f t="shared" si="811"/>
        <v>124616.2580634</v>
      </c>
      <c r="Q981" s="2"/>
    </row>
    <row r="982" spans="1:17" s="28" customFormat="1" ht="19.149999999999999" customHeight="1" x14ac:dyDescent="0.25">
      <c r="A982" s="122" t="str">
        <f>IF(TRIM(G982)&lt;&gt;"",COUNTA(G$9:$G982)&amp;"","")</f>
        <v/>
      </c>
      <c r="B982" s="49"/>
      <c r="C982" s="49"/>
      <c r="D982" s="50" t="s">
        <v>143</v>
      </c>
      <c r="E982" s="156" t="s">
        <v>142</v>
      </c>
      <c r="F982" s="124"/>
      <c r="G982" s="125"/>
      <c r="H982" s="33" t="str">
        <f t="shared" si="805"/>
        <v/>
      </c>
      <c r="I982" s="82" t="str">
        <f t="shared" si="806"/>
        <v/>
      </c>
      <c r="J982" s="34" t="str">
        <f t="shared" si="807"/>
        <v/>
      </c>
      <c r="K982" s="35" t="str">
        <f t="shared" si="808"/>
        <v/>
      </c>
      <c r="L982" s="36" t="str">
        <f>IF(F982=0,"",L$963)</f>
        <v/>
      </c>
      <c r="M982" s="37" t="str">
        <f t="shared" si="812"/>
        <v/>
      </c>
      <c r="N982" s="37" t="str">
        <f t="shared" si="809"/>
        <v/>
      </c>
      <c r="O982" s="35" t="str">
        <f t="shared" si="810"/>
        <v/>
      </c>
      <c r="P982" s="38" t="str">
        <f t="shared" si="811"/>
        <v/>
      </c>
      <c r="Q982" s="39"/>
    </row>
    <row r="983" spans="1:17" x14ac:dyDescent="0.25">
      <c r="A983" s="122" t="str">
        <f>IF(TRIM(G983)&lt;&gt;"",COUNTA(G$9:$G983)&amp;"","")</f>
        <v>789</v>
      </c>
      <c r="B983" s="123" t="s">
        <v>477</v>
      </c>
      <c r="C983" s="123" t="s">
        <v>274</v>
      </c>
      <c r="D983" s="50"/>
      <c r="E983" s="89" t="s">
        <v>270</v>
      </c>
      <c r="F983" s="124">
        <v>928.82</v>
      </c>
      <c r="G983" s="125" t="s">
        <v>214</v>
      </c>
      <c r="H983" s="33">
        <v>0.1</v>
      </c>
      <c r="I983" s="82">
        <f t="shared" ref="I983:I985" si="829">IF(F983=0,"",F983+(F983*H983))</f>
        <v>1021.702</v>
      </c>
      <c r="J983" s="34">
        <v>1.24</v>
      </c>
      <c r="K983" s="35">
        <f t="shared" ref="K983:K985" si="830">IF(F983=0,"",J983*I983)</f>
        <v>1266.91048</v>
      </c>
      <c r="L983" s="36">
        <f t="shared" ref="L983:L985" si="831">IF(F983=0,"",L$963)</f>
        <v>73.03</v>
      </c>
      <c r="M983" s="37">
        <v>0.01</v>
      </c>
      <c r="N983" s="37">
        <f t="shared" ref="N983:N985" si="832">IF(F983=0,"",M983*I983)</f>
        <v>10.21702</v>
      </c>
      <c r="O983" s="35">
        <f t="shared" ref="O983:O985" si="833">IF(F983=0,"",N983*L983)</f>
        <v>746.14897059999998</v>
      </c>
      <c r="P983" s="38">
        <f t="shared" ref="P983:P985" si="834">IF(F983=0,"",K983+O983)</f>
        <v>2013.0594506</v>
      </c>
      <c r="Q983" s="2"/>
    </row>
    <row r="984" spans="1:17" x14ac:dyDescent="0.25">
      <c r="A984" s="122" t="str">
        <f>IF(TRIM(G984)&lt;&gt;"",COUNTA(G$9:$G984)&amp;"","")</f>
        <v>790</v>
      </c>
      <c r="B984" s="123" t="s">
        <v>477</v>
      </c>
      <c r="C984" s="123" t="s">
        <v>274</v>
      </c>
      <c r="D984" s="50"/>
      <c r="E984" s="89" t="s">
        <v>271</v>
      </c>
      <c r="F984" s="124">
        <v>883.53</v>
      </c>
      <c r="G984" s="125" t="s">
        <v>228</v>
      </c>
      <c r="H984" s="33">
        <v>0.1</v>
      </c>
      <c r="I984" s="82">
        <f t="shared" si="829"/>
        <v>971.88300000000004</v>
      </c>
      <c r="J984" s="34">
        <v>1.24</v>
      </c>
      <c r="K984" s="35">
        <f t="shared" si="830"/>
        <v>1205.13492</v>
      </c>
      <c r="L984" s="36">
        <f t="shared" si="831"/>
        <v>73.03</v>
      </c>
      <c r="M984" s="37">
        <v>3.6999999999999998E-2</v>
      </c>
      <c r="N984" s="37">
        <f t="shared" si="832"/>
        <v>35.959671</v>
      </c>
      <c r="O984" s="35">
        <f t="shared" si="833"/>
        <v>2626.1347731300002</v>
      </c>
      <c r="P984" s="38">
        <f t="shared" si="834"/>
        <v>3831.2696931300002</v>
      </c>
      <c r="Q984" s="2"/>
    </row>
    <row r="985" spans="1:17" x14ac:dyDescent="0.25">
      <c r="A985" s="122" t="str">
        <f>IF(TRIM(G985)&lt;&gt;"",COUNTA(G$9:$G985)&amp;"","")</f>
        <v>791</v>
      </c>
      <c r="B985" s="123" t="s">
        <v>477</v>
      </c>
      <c r="C985" s="123" t="s">
        <v>274</v>
      </c>
      <c r="D985" s="50"/>
      <c r="E985" s="89" t="s">
        <v>272</v>
      </c>
      <c r="F985" s="124">
        <v>281.3</v>
      </c>
      <c r="G985" s="125" t="s">
        <v>228</v>
      </c>
      <c r="H985" s="33">
        <v>0.1</v>
      </c>
      <c r="I985" s="82">
        <f t="shared" si="829"/>
        <v>309.43</v>
      </c>
      <c r="J985" s="34">
        <v>1.22</v>
      </c>
      <c r="K985" s="35">
        <f t="shared" si="830"/>
        <v>377.50459999999998</v>
      </c>
      <c r="L985" s="36">
        <f t="shared" si="831"/>
        <v>73.03</v>
      </c>
      <c r="M985" s="37">
        <v>0.01</v>
      </c>
      <c r="N985" s="37">
        <f t="shared" si="832"/>
        <v>3.0943000000000001</v>
      </c>
      <c r="O985" s="35">
        <f t="shared" si="833"/>
        <v>225.97672900000001</v>
      </c>
      <c r="P985" s="38">
        <f t="shared" si="834"/>
        <v>603.48132899999996</v>
      </c>
      <c r="Q985" s="2"/>
    </row>
    <row r="986" spans="1:17" x14ac:dyDescent="0.25">
      <c r="A986" s="122" t="str">
        <f>IF(TRIM(G986)&lt;&gt;"",COUNTA(G$9:$G986)&amp;"","")</f>
        <v>792</v>
      </c>
      <c r="B986" s="123" t="s">
        <v>477</v>
      </c>
      <c r="C986" s="123" t="s">
        <v>274</v>
      </c>
      <c r="D986" s="50"/>
      <c r="E986" s="89" t="s">
        <v>273</v>
      </c>
      <c r="F986" s="124">
        <v>61</v>
      </c>
      <c r="G986" s="125" t="s">
        <v>250</v>
      </c>
      <c r="H986" s="33">
        <v>0</v>
      </c>
      <c r="I986" s="82">
        <f t="shared" si="806"/>
        <v>61</v>
      </c>
      <c r="J986" s="34">
        <f t="shared" si="807"/>
        <v>0</v>
      </c>
      <c r="K986" s="35">
        <f t="shared" si="808"/>
        <v>0</v>
      </c>
      <c r="L986" s="36">
        <f>IF(F986=0,"",L$963)</f>
        <v>73.03</v>
      </c>
      <c r="M986" s="37">
        <f t="shared" si="812"/>
        <v>0</v>
      </c>
      <c r="N986" s="37">
        <f t="shared" si="809"/>
        <v>0</v>
      </c>
      <c r="O986" s="35">
        <f t="shared" si="810"/>
        <v>0</v>
      </c>
      <c r="P986" s="38">
        <f t="shared" si="811"/>
        <v>0</v>
      </c>
      <c r="Q986" s="2"/>
    </row>
    <row r="987" spans="1:17" s="28" customFormat="1" ht="19.149999999999999" customHeight="1" x14ac:dyDescent="0.25">
      <c r="A987" s="122" t="str">
        <f>IF(TRIM(G987)&lt;&gt;"",COUNTA(G$9:$G987)&amp;"","")</f>
        <v/>
      </c>
      <c r="B987" s="49"/>
      <c r="C987" s="49"/>
      <c r="D987" s="50" t="s">
        <v>145</v>
      </c>
      <c r="E987" s="156" t="s">
        <v>144</v>
      </c>
      <c r="F987" s="124"/>
      <c r="G987" s="125"/>
      <c r="H987" s="33" t="str">
        <f t="shared" si="805"/>
        <v/>
      </c>
      <c r="I987" s="82" t="str">
        <f t="shared" si="806"/>
        <v/>
      </c>
      <c r="J987" s="34" t="str">
        <f t="shared" si="807"/>
        <v/>
      </c>
      <c r="K987" s="35" t="str">
        <f t="shared" si="808"/>
        <v/>
      </c>
      <c r="L987" s="36" t="str">
        <f>IF(F987=0,"",L$963)</f>
        <v/>
      </c>
      <c r="M987" s="37" t="str">
        <f t="shared" si="812"/>
        <v/>
      </c>
      <c r="N987" s="37" t="str">
        <f t="shared" si="809"/>
        <v/>
      </c>
      <c r="O987" s="35" t="str">
        <f t="shared" si="810"/>
        <v/>
      </c>
      <c r="P987" s="38" t="str">
        <f t="shared" si="811"/>
        <v/>
      </c>
      <c r="Q987" s="39"/>
    </row>
    <row r="988" spans="1:17" x14ac:dyDescent="0.25">
      <c r="A988" s="122" t="str">
        <f>IF(TRIM(G988)&lt;&gt;"",COUNTA(G$9:$G988)&amp;"","")</f>
        <v>793</v>
      </c>
      <c r="B988" s="123" t="s">
        <v>256</v>
      </c>
      <c r="C988" s="123" t="s">
        <v>256</v>
      </c>
      <c r="D988" s="50"/>
      <c r="E988" s="89" t="s">
        <v>229</v>
      </c>
      <c r="F988" s="124">
        <v>2234.1552999999999</v>
      </c>
      <c r="G988" s="125" t="s">
        <v>214</v>
      </c>
      <c r="H988" s="33">
        <f t="shared" si="805"/>
        <v>0</v>
      </c>
      <c r="I988" s="82">
        <f t="shared" si="806"/>
        <v>2234.1552999999999</v>
      </c>
      <c r="J988" s="34">
        <v>6.09</v>
      </c>
      <c r="K988" s="35">
        <f t="shared" si="808"/>
        <v>13606.005776999998</v>
      </c>
      <c r="L988" s="36">
        <f>IF(F988=0,"",L$963)</f>
        <v>73.03</v>
      </c>
      <c r="M988" s="37">
        <v>0.11700000000000001</v>
      </c>
      <c r="N988" s="37">
        <f t="shared" si="809"/>
        <v>261.39617010000001</v>
      </c>
      <c r="O988" s="35">
        <f t="shared" si="810"/>
        <v>19089.762302403</v>
      </c>
      <c r="P988" s="38">
        <f t="shared" si="811"/>
        <v>32695.768079402998</v>
      </c>
      <c r="Q988" s="2"/>
    </row>
    <row r="989" spans="1:17" ht="15.75" thickBot="1" x14ac:dyDescent="0.3">
      <c r="A989" s="122" t="str">
        <f>IF(TRIM(G989)&lt;&gt;"",COUNTA(G$9:$G989)&amp;"","")</f>
        <v/>
      </c>
      <c r="B989" s="126"/>
      <c r="C989" s="126"/>
      <c r="D989" s="50"/>
      <c r="E989" s="127"/>
      <c r="F989" s="124"/>
      <c r="G989" s="125"/>
      <c r="H989" s="33" t="str">
        <f t="shared" si="805"/>
        <v/>
      </c>
      <c r="I989" s="82" t="str">
        <f t="shared" si="806"/>
        <v/>
      </c>
      <c r="J989" s="34" t="str">
        <f t="shared" si="807"/>
        <v/>
      </c>
      <c r="K989" s="35" t="str">
        <f t="shared" si="808"/>
        <v/>
      </c>
      <c r="L989" s="36" t="str">
        <f>IF(F989=0,"",L$963)</f>
        <v/>
      </c>
      <c r="M989" s="37" t="str">
        <f t="shared" si="812"/>
        <v/>
      </c>
      <c r="N989" s="37" t="str">
        <f t="shared" si="809"/>
        <v/>
      </c>
      <c r="O989" s="35" t="str">
        <f t="shared" si="810"/>
        <v/>
      </c>
      <c r="P989" s="38" t="str">
        <f t="shared" si="811"/>
        <v/>
      </c>
      <c r="Q989" s="2"/>
    </row>
    <row r="990" spans="1:17" s="3" customFormat="1" ht="16.5" thickBot="1" x14ac:dyDescent="0.3">
      <c r="A990" s="122" t="str">
        <f>IF(TRIM(G990)&lt;&gt;"",COUNTA(G$9:$G990)&amp;"","")</f>
        <v/>
      </c>
      <c r="B990" s="53"/>
      <c r="C990" s="53"/>
      <c r="D990" s="54"/>
      <c r="E990" s="29"/>
      <c r="F990" s="124"/>
      <c r="G990" s="129"/>
      <c r="H990" s="151" t="s">
        <v>12</v>
      </c>
      <c r="I990" s="152"/>
      <c r="J990" s="68">
        <f>SUM(K$965:K$989)</f>
        <v>49232.398776999995</v>
      </c>
      <c r="K990" s="390" t="s">
        <v>13</v>
      </c>
      <c r="L990" s="391"/>
      <c r="M990" s="69">
        <f>SUM(O$965:O$989)</f>
        <v>250582.744507533</v>
      </c>
      <c r="N990" s="390" t="s">
        <v>43</v>
      </c>
      <c r="O990" s="391"/>
      <c r="P990" s="70">
        <f>SUM(N$965:N$989)</f>
        <v>3431.2302411000001</v>
      </c>
      <c r="Q990" s="71">
        <f>SUM(P$965:P$989)</f>
        <v>299815.14328453294</v>
      </c>
    </row>
    <row r="991" spans="1:17" ht="20.100000000000001" customHeight="1" x14ac:dyDescent="0.25">
      <c r="A991" s="153" t="str">
        <f>IF(TRIM(G991)&lt;&gt;"",COUNTA(G$9:$G991)&amp;"","")</f>
        <v/>
      </c>
      <c r="B991" s="31"/>
      <c r="C991" s="162" t="s">
        <v>192</v>
      </c>
      <c r="D991" s="154" t="s">
        <v>189</v>
      </c>
      <c r="E991" s="154" t="s">
        <v>190</v>
      </c>
      <c r="F991" s="78"/>
      <c r="G991" s="79"/>
      <c r="H991" s="31"/>
      <c r="I991" s="79"/>
      <c r="J991" s="31"/>
      <c r="K991" s="31"/>
      <c r="L991" s="31"/>
      <c r="M991" s="31"/>
      <c r="N991" s="31"/>
      <c r="O991" s="31"/>
      <c r="P991" s="31"/>
      <c r="Q991" s="155"/>
    </row>
    <row r="992" spans="1:17" s="28" customFormat="1" ht="19.149999999999999" customHeight="1" x14ac:dyDescent="0.25">
      <c r="A992" s="122" t="str">
        <f>IF(TRIM(G992)&lt;&gt;"",COUNTA(G$9:$G992)&amp;"","")</f>
        <v/>
      </c>
      <c r="B992" s="49"/>
      <c r="C992" s="49"/>
      <c r="D992" s="50" t="s">
        <v>147</v>
      </c>
      <c r="E992" s="156" t="s">
        <v>146</v>
      </c>
      <c r="F992" s="124"/>
      <c r="G992" s="125"/>
      <c r="H992" s="33" t="str">
        <f>IF(F992=0,"",0)</f>
        <v/>
      </c>
      <c r="I992" s="82" t="str">
        <f t="shared" ref="I992" si="835">IF(F992=0,"",F992+(F992*H992))</f>
        <v/>
      </c>
      <c r="J992" s="34" t="str">
        <f>IF(F992=0,"",0)</f>
        <v/>
      </c>
      <c r="K992" s="35" t="str">
        <f>IF(F992=0,"",J992*I992)</f>
        <v/>
      </c>
      <c r="L992" s="36" t="str">
        <f t="shared" ref="L992:L1002" si="836">IF(F992=0,"",L$963)</f>
        <v/>
      </c>
      <c r="M992" s="37" t="str">
        <f>IF(F992=0,"",0)</f>
        <v/>
      </c>
      <c r="N992" s="37" t="str">
        <f>IF(F992=0,"",M992*I992)</f>
        <v/>
      </c>
      <c r="O992" s="35" t="str">
        <f>IF(F992=0,"",N992*L992)</f>
        <v/>
      </c>
      <c r="P992" s="38" t="str">
        <f>IF(F992=0,"",K992+O992)</f>
        <v/>
      </c>
      <c r="Q992" s="39"/>
    </row>
    <row r="993" spans="1:17" x14ac:dyDescent="0.25">
      <c r="A993" s="122" t="str">
        <f>IF(TRIM(G993)&lt;&gt;"",COUNTA(G$9:$G993)&amp;"","")</f>
        <v>794</v>
      </c>
      <c r="B993" s="123" t="s">
        <v>473</v>
      </c>
      <c r="C993" s="123" t="s">
        <v>472</v>
      </c>
      <c r="D993" s="50"/>
      <c r="E993" s="111" t="s">
        <v>287</v>
      </c>
      <c r="F993" s="124">
        <v>667.81</v>
      </c>
      <c r="G993" s="125" t="s">
        <v>214</v>
      </c>
      <c r="H993" s="33">
        <v>0.1</v>
      </c>
      <c r="I993" s="82">
        <f t="shared" ref="I993:I1046" si="837">IF(F993=0,"",F993+(F993*H993))</f>
        <v>734.59099999999989</v>
      </c>
      <c r="J993" s="34">
        <v>1.24</v>
      </c>
      <c r="K993" s="35">
        <f t="shared" ref="K993:K1046" si="838">IF(F993=0,"",J993*I993)</f>
        <v>910.89283999999986</v>
      </c>
      <c r="L993" s="36">
        <f t="shared" si="836"/>
        <v>73.03</v>
      </c>
      <c r="M993" s="37">
        <v>0.01</v>
      </c>
      <c r="N993" s="37">
        <f t="shared" ref="N993:N1046" si="839">IF(F993=0,"",M993*I993)</f>
        <v>7.3459099999999991</v>
      </c>
      <c r="O993" s="35">
        <f t="shared" ref="O993:O1046" si="840">IF(F993=0,"",N993*L993)</f>
        <v>536.47180729999991</v>
      </c>
      <c r="P993" s="38">
        <f t="shared" ref="P993:P1046" si="841">IF(F993=0,"",K993+O993)</f>
        <v>1447.3646472999999</v>
      </c>
      <c r="Q993" s="2"/>
    </row>
    <row r="994" spans="1:17" s="28" customFormat="1" ht="19.149999999999999" customHeight="1" x14ac:dyDescent="0.25">
      <c r="A994" s="122" t="str">
        <f>IF(TRIM(G994)&lt;&gt;"",COUNTA(G$9:$G994)&amp;"","")</f>
        <v/>
      </c>
      <c r="B994" s="49"/>
      <c r="C994" s="49"/>
      <c r="D994" s="50" t="s">
        <v>149</v>
      </c>
      <c r="E994" s="156" t="s">
        <v>148</v>
      </c>
      <c r="F994" s="124"/>
      <c r="G994" s="125"/>
      <c r="H994" s="33" t="str">
        <f t="shared" ref="H994:H1045" si="842">IF(F994=0,"",0)</f>
        <v/>
      </c>
      <c r="I994" s="82" t="str">
        <f t="shared" si="837"/>
        <v/>
      </c>
      <c r="J994" s="34" t="str">
        <f t="shared" ref="J994:J1045" si="843">IF(F994=0,"",0)</f>
        <v/>
      </c>
      <c r="K994" s="35" t="str">
        <f t="shared" si="838"/>
        <v/>
      </c>
      <c r="L994" s="36" t="str">
        <f t="shared" si="836"/>
        <v/>
      </c>
      <c r="M994" s="37" t="str">
        <f t="shared" ref="M994:M1045" si="844">IF(F994=0,"",0)</f>
        <v/>
      </c>
      <c r="N994" s="37" t="str">
        <f t="shared" si="839"/>
        <v/>
      </c>
      <c r="O994" s="35" t="str">
        <f t="shared" si="840"/>
        <v/>
      </c>
      <c r="P994" s="38" t="str">
        <f t="shared" si="841"/>
        <v/>
      </c>
      <c r="Q994" s="39"/>
    </row>
    <row r="995" spans="1:17" ht="45" x14ac:dyDescent="0.25">
      <c r="A995" s="122" t="str">
        <f>IF(TRIM(G995)&lt;&gt;"",COUNTA(G$9:$G995)&amp;"","")</f>
        <v>795</v>
      </c>
      <c r="B995" s="123" t="s">
        <v>473</v>
      </c>
      <c r="C995" s="123" t="s">
        <v>472</v>
      </c>
      <c r="D995" s="50"/>
      <c r="E995" s="89" t="s">
        <v>296</v>
      </c>
      <c r="F995" s="124">
        <v>25350.58</v>
      </c>
      <c r="G995" s="125" t="s">
        <v>214</v>
      </c>
      <c r="H995" s="33">
        <v>0.1</v>
      </c>
      <c r="I995" s="82">
        <f t="shared" si="837"/>
        <v>27885.638000000003</v>
      </c>
      <c r="J995" s="34">
        <f>(5.98+6.66+4.01)/9</f>
        <v>1.8499999999999999</v>
      </c>
      <c r="K995" s="35">
        <f t="shared" si="838"/>
        <v>51588.4303</v>
      </c>
      <c r="L995" s="36">
        <f t="shared" si="836"/>
        <v>73.03</v>
      </c>
      <c r="M995" s="37">
        <v>1.4E-2</v>
      </c>
      <c r="N995" s="37">
        <f t="shared" si="839"/>
        <v>390.39893200000006</v>
      </c>
      <c r="O995" s="35">
        <f t="shared" si="840"/>
        <v>28510.834003960004</v>
      </c>
      <c r="P995" s="38">
        <f t="shared" si="841"/>
        <v>80099.264303960008</v>
      </c>
      <c r="Q995" s="2"/>
    </row>
    <row r="996" spans="1:17" s="28" customFormat="1" ht="19.149999999999999" customHeight="1" x14ac:dyDescent="0.25">
      <c r="A996" s="122" t="str">
        <f>IF(TRIM(G996)&lt;&gt;"",COUNTA(G$9:$G996)&amp;"","")</f>
        <v/>
      </c>
      <c r="B996" s="49"/>
      <c r="C996" s="49"/>
      <c r="D996" s="50" t="s">
        <v>151</v>
      </c>
      <c r="E996" s="156" t="s">
        <v>150</v>
      </c>
      <c r="F996" s="124"/>
      <c r="G996" s="125"/>
      <c r="H996" s="33" t="str">
        <f t="shared" si="842"/>
        <v/>
      </c>
      <c r="I996" s="82" t="str">
        <f t="shared" si="837"/>
        <v/>
      </c>
      <c r="J996" s="34" t="str">
        <f t="shared" si="843"/>
        <v/>
      </c>
      <c r="K996" s="35" t="str">
        <f t="shared" si="838"/>
        <v/>
      </c>
      <c r="L996" s="36" t="str">
        <f t="shared" si="836"/>
        <v/>
      </c>
      <c r="M996" s="37" t="str">
        <f t="shared" si="844"/>
        <v/>
      </c>
      <c r="N996" s="37" t="str">
        <f t="shared" si="839"/>
        <v/>
      </c>
      <c r="O996" s="35" t="str">
        <f t="shared" si="840"/>
        <v/>
      </c>
      <c r="P996" s="38" t="str">
        <f t="shared" si="841"/>
        <v/>
      </c>
      <c r="Q996" s="39"/>
    </row>
    <row r="997" spans="1:17" x14ac:dyDescent="0.25">
      <c r="A997" s="122" t="str">
        <f>IF(TRIM(G997)&lt;&gt;"",COUNTA(G$9:$G997)&amp;"","")</f>
        <v>796</v>
      </c>
      <c r="B997" s="123" t="s">
        <v>473</v>
      </c>
      <c r="C997" s="123" t="s">
        <v>472</v>
      </c>
      <c r="D997" s="50"/>
      <c r="E997" s="89" t="s">
        <v>294</v>
      </c>
      <c r="F997" s="124">
        <f>542.31*2.65/27</f>
        <v>53.226722222222214</v>
      </c>
      <c r="G997" s="125" t="s">
        <v>232</v>
      </c>
      <c r="H997" s="33">
        <v>0.1</v>
      </c>
      <c r="I997" s="82">
        <f t="shared" si="837"/>
        <v>58.549394444444438</v>
      </c>
      <c r="J997" s="34">
        <v>288.39999999999998</v>
      </c>
      <c r="K997" s="35">
        <f t="shared" si="838"/>
        <v>16885.645357777776</v>
      </c>
      <c r="L997" s="36">
        <f t="shared" si="836"/>
        <v>73.03</v>
      </c>
      <c r="M997" s="37">
        <v>2.61</v>
      </c>
      <c r="N997" s="37">
        <f t="shared" si="839"/>
        <v>152.81391949999997</v>
      </c>
      <c r="O997" s="35">
        <f t="shared" si="840"/>
        <v>11160.000541084997</v>
      </c>
      <c r="P997" s="38">
        <f t="shared" si="841"/>
        <v>28045.645898862771</v>
      </c>
      <c r="Q997" s="2"/>
    </row>
    <row r="998" spans="1:17" x14ac:dyDescent="0.25">
      <c r="A998" s="122" t="str">
        <f>IF(TRIM(G998)&lt;&gt;"",COUNTA(G$9:$G998)&amp;"","")</f>
        <v>797</v>
      </c>
      <c r="B998" s="123" t="s">
        <v>473</v>
      </c>
      <c r="C998" s="123" t="s">
        <v>472</v>
      </c>
      <c r="D998" s="50"/>
      <c r="E998" s="89" t="s">
        <v>295</v>
      </c>
      <c r="F998" s="124">
        <f>784.39*0.628/27</f>
        <v>18.244330370370371</v>
      </c>
      <c r="G998" s="125" t="s">
        <v>232</v>
      </c>
      <c r="H998" s="33">
        <v>0.1</v>
      </c>
      <c r="I998" s="82">
        <f t="shared" si="837"/>
        <v>20.068763407407406</v>
      </c>
      <c r="J998" s="34">
        <v>288.39999999999998</v>
      </c>
      <c r="K998" s="35">
        <f t="shared" si="838"/>
        <v>5787.8313666962958</v>
      </c>
      <c r="L998" s="36">
        <f t="shared" si="836"/>
        <v>73.03</v>
      </c>
      <c r="M998" s="37">
        <v>2.61</v>
      </c>
      <c r="N998" s="37">
        <f t="shared" si="839"/>
        <v>52.379472493333324</v>
      </c>
      <c r="O998" s="35">
        <f t="shared" si="840"/>
        <v>3825.2728761881326</v>
      </c>
      <c r="P998" s="38">
        <f t="shared" si="841"/>
        <v>9613.1042428844285</v>
      </c>
      <c r="Q998" s="2"/>
    </row>
    <row r="999" spans="1:17" s="28" customFormat="1" ht="19.149999999999999" customHeight="1" x14ac:dyDescent="0.25">
      <c r="A999" s="122" t="str">
        <f>IF(TRIM(G999)&lt;&gt;"",COUNTA(G$9:$G999)&amp;"","")</f>
        <v/>
      </c>
      <c r="B999" s="49"/>
      <c r="C999" s="49"/>
      <c r="D999" s="50" t="s">
        <v>153</v>
      </c>
      <c r="E999" s="156" t="s">
        <v>152</v>
      </c>
      <c r="F999" s="124"/>
      <c r="G999" s="125"/>
      <c r="H999" s="33" t="str">
        <f t="shared" si="842"/>
        <v/>
      </c>
      <c r="I999" s="82" t="str">
        <f t="shared" si="837"/>
        <v/>
      </c>
      <c r="J999" s="34" t="str">
        <f t="shared" si="843"/>
        <v/>
      </c>
      <c r="K999" s="35" t="str">
        <f t="shared" si="838"/>
        <v/>
      </c>
      <c r="L999" s="36" t="str">
        <f t="shared" si="836"/>
        <v/>
      </c>
      <c r="M999" s="37" t="str">
        <f t="shared" si="844"/>
        <v/>
      </c>
      <c r="N999" s="37" t="str">
        <f t="shared" si="839"/>
        <v/>
      </c>
      <c r="O999" s="35" t="str">
        <f t="shared" si="840"/>
        <v/>
      </c>
      <c r="P999" s="38" t="str">
        <f t="shared" si="841"/>
        <v/>
      </c>
      <c r="Q999" s="39"/>
    </row>
    <row r="1000" spans="1:17" ht="45" x14ac:dyDescent="0.25">
      <c r="A1000" s="122" t="str">
        <f>IF(TRIM(G1000)&lt;&gt;"",COUNTA(G$9:$G1000)&amp;"","")</f>
        <v>798</v>
      </c>
      <c r="B1000" s="123" t="s">
        <v>473</v>
      </c>
      <c r="C1000" s="123" t="s">
        <v>472</v>
      </c>
      <c r="D1000" s="50"/>
      <c r="E1000" s="89" t="s">
        <v>275</v>
      </c>
      <c r="F1000" s="124">
        <v>3118.14</v>
      </c>
      <c r="G1000" s="125" t="s">
        <v>214</v>
      </c>
      <c r="H1000" s="33">
        <v>0.1</v>
      </c>
      <c r="I1000" s="82">
        <f t="shared" si="837"/>
        <v>3429.9539999999997</v>
      </c>
      <c r="J1000" s="34">
        <v>4.58</v>
      </c>
      <c r="K1000" s="35">
        <f t="shared" si="838"/>
        <v>15709.189319999999</v>
      </c>
      <c r="L1000" s="36">
        <f t="shared" si="836"/>
        <v>73.03</v>
      </c>
      <c r="M1000" s="37">
        <v>0.05</v>
      </c>
      <c r="N1000" s="37">
        <f t="shared" si="839"/>
        <v>171.49770000000001</v>
      </c>
      <c r="O1000" s="35">
        <f t="shared" si="840"/>
        <v>12524.477031</v>
      </c>
      <c r="P1000" s="38">
        <f t="shared" si="841"/>
        <v>28233.666351</v>
      </c>
      <c r="Q1000" s="2"/>
    </row>
    <row r="1001" spans="1:17" x14ac:dyDescent="0.25">
      <c r="A1001" s="122" t="str">
        <f>IF(TRIM(G1001)&lt;&gt;"",COUNTA(G$9:$G1001)&amp;"","")</f>
        <v>799</v>
      </c>
      <c r="B1001" s="123" t="s">
        <v>473</v>
      </c>
      <c r="C1001" s="123" t="s">
        <v>472</v>
      </c>
      <c r="D1001" s="50"/>
      <c r="E1001" s="89" t="s">
        <v>281</v>
      </c>
      <c r="F1001" s="124">
        <f>84.11*0.33*1/27</f>
        <v>1.028011111111111</v>
      </c>
      <c r="G1001" s="125" t="s">
        <v>232</v>
      </c>
      <c r="H1001" s="33">
        <v>0.1</v>
      </c>
      <c r="I1001" s="82">
        <f t="shared" si="837"/>
        <v>1.1308122222222221</v>
      </c>
      <c r="J1001" s="34">
        <v>288.39999999999998</v>
      </c>
      <c r="K1001" s="35">
        <f t="shared" si="838"/>
        <v>326.12624488888883</v>
      </c>
      <c r="L1001" s="36">
        <f t="shared" si="836"/>
        <v>73.03</v>
      </c>
      <c r="M1001" s="37">
        <v>2.61</v>
      </c>
      <c r="N1001" s="37">
        <f t="shared" si="839"/>
        <v>2.9514198999999994</v>
      </c>
      <c r="O1001" s="35">
        <f t="shared" si="840"/>
        <v>215.54219529699995</v>
      </c>
      <c r="P1001" s="38">
        <f t="shared" si="841"/>
        <v>541.66844018588881</v>
      </c>
      <c r="Q1001" s="2"/>
    </row>
    <row r="1002" spans="1:17" ht="30" x14ac:dyDescent="0.25">
      <c r="A1002" s="122" t="str">
        <f>IF(TRIM(G1002)&lt;&gt;"",COUNTA(G$9:$G1002)&amp;"","")</f>
        <v>800</v>
      </c>
      <c r="B1002" s="123" t="s">
        <v>473</v>
      </c>
      <c r="C1002" s="123" t="s">
        <v>472</v>
      </c>
      <c r="D1002" s="50"/>
      <c r="E1002" s="89" t="s">
        <v>290</v>
      </c>
      <c r="F1002" s="124">
        <v>64.28</v>
      </c>
      <c r="G1002" s="125" t="s">
        <v>214</v>
      </c>
      <c r="H1002" s="33">
        <v>0.1</v>
      </c>
      <c r="I1002" s="82">
        <f t="shared" si="837"/>
        <v>70.707999999999998</v>
      </c>
      <c r="J1002" s="34">
        <v>3.58</v>
      </c>
      <c r="K1002" s="35">
        <f t="shared" si="838"/>
        <v>253.13463999999999</v>
      </c>
      <c r="L1002" s="36">
        <f t="shared" si="836"/>
        <v>73.03</v>
      </c>
      <c r="M1002" s="37">
        <v>0.04</v>
      </c>
      <c r="N1002" s="37">
        <f t="shared" si="839"/>
        <v>2.8283200000000002</v>
      </c>
      <c r="O1002" s="35">
        <f t="shared" si="840"/>
        <v>206.55220960000003</v>
      </c>
      <c r="P1002" s="38">
        <f t="shared" si="841"/>
        <v>459.68684960000002</v>
      </c>
      <c r="Q1002" s="2"/>
    </row>
    <row r="1003" spans="1:17" ht="30" x14ac:dyDescent="0.25">
      <c r="A1003" s="122" t="str">
        <f>IF(TRIM(G1003)&lt;&gt;"",COUNTA(G$9:$G1003)&amp;"","")</f>
        <v>801</v>
      </c>
      <c r="B1003" s="123" t="s">
        <v>473</v>
      </c>
      <c r="C1003" s="123" t="s">
        <v>472</v>
      </c>
      <c r="D1003" s="50"/>
      <c r="E1003" s="89" t="s">
        <v>291</v>
      </c>
      <c r="F1003" s="124">
        <v>134.22999999999999</v>
      </c>
      <c r="G1003" s="125" t="s">
        <v>214</v>
      </c>
      <c r="H1003" s="33">
        <v>0.1</v>
      </c>
      <c r="I1003" s="82">
        <f t="shared" ref="I1003:I1005" si="845">IF(F1003=0,"",F1003+(F1003*H1003))</f>
        <v>147.65299999999999</v>
      </c>
      <c r="J1003" s="34">
        <v>3.58</v>
      </c>
      <c r="K1003" s="35">
        <f t="shared" ref="K1003:K1005" si="846">IF(F1003=0,"",J1003*I1003)</f>
        <v>528.59773999999993</v>
      </c>
      <c r="L1003" s="36">
        <f t="shared" ref="L1003:L1005" si="847">IF(F1003=0,"",L$963)</f>
        <v>73.03</v>
      </c>
      <c r="M1003" s="37">
        <v>0.04</v>
      </c>
      <c r="N1003" s="37">
        <f t="shared" ref="N1003:N1005" si="848">IF(F1003=0,"",M1003*I1003)</f>
        <v>5.9061199999999996</v>
      </c>
      <c r="O1003" s="35">
        <f t="shared" ref="O1003:O1005" si="849">IF(F1003=0,"",N1003*L1003)</f>
        <v>431.32394359999995</v>
      </c>
      <c r="P1003" s="38">
        <f t="shared" ref="P1003:P1005" si="850">IF(F1003=0,"",K1003+O1003)</f>
        <v>959.92168359999982</v>
      </c>
      <c r="Q1003" s="2"/>
    </row>
    <row r="1004" spans="1:17" x14ac:dyDescent="0.25">
      <c r="A1004" s="122" t="str">
        <f>IF(TRIM(G1004)&lt;&gt;"",COUNTA(G$9:$G1004)&amp;"","")</f>
        <v>802</v>
      </c>
      <c r="B1004" s="123" t="s">
        <v>473</v>
      </c>
      <c r="C1004" s="123" t="s">
        <v>472</v>
      </c>
      <c r="D1004" s="50"/>
      <c r="E1004" s="89" t="s">
        <v>297</v>
      </c>
      <c r="F1004" s="124">
        <f>2*13*6*1/27</f>
        <v>5.7777777777777777</v>
      </c>
      <c r="G1004" s="125" t="s">
        <v>232</v>
      </c>
      <c r="H1004" s="33">
        <v>0.1</v>
      </c>
      <c r="I1004" s="82">
        <f t="shared" ref="I1004" si="851">IF(F1004=0,"",F1004+(F1004*H1004))</f>
        <v>6.3555555555555552</v>
      </c>
      <c r="J1004" s="34">
        <v>288.39999999999998</v>
      </c>
      <c r="K1004" s="35">
        <f t="shared" ref="K1004" si="852">IF(F1004=0,"",J1004*I1004)</f>
        <v>1832.942222222222</v>
      </c>
      <c r="L1004" s="36">
        <f t="shared" ref="L1004" si="853">IF(F1004=0,"",L$963)</f>
        <v>73.03</v>
      </c>
      <c r="M1004" s="37">
        <v>2.61</v>
      </c>
      <c r="N1004" s="37">
        <f t="shared" ref="N1004" si="854">IF(F1004=0,"",M1004*I1004)</f>
        <v>16.587999999999997</v>
      </c>
      <c r="O1004" s="35">
        <f t="shared" ref="O1004" si="855">IF(F1004=0,"",N1004*L1004)</f>
        <v>1211.4216399999998</v>
      </c>
      <c r="P1004" s="38">
        <f t="shared" ref="P1004" si="856">IF(F1004=0,"",K1004+O1004)</f>
        <v>3044.3638622222215</v>
      </c>
      <c r="Q1004" s="2"/>
    </row>
    <row r="1005" spans="1:17" ht="30" x14ac:dyDescent="0.25">
      <c r="A1005" s="122" t="str">
        <f>IF(TRIM(G1005)&lt;&gt;"",COUNTA(G$9:$G1005)&amp;"","")</f>
        <v>803</v>
      </c>
      <c r="B1005" s="123" t="s">
        <v>473</v>
      </c>
      <c r="C1005" s="123" t="s">
        <v>472</v>
      </c>
      <c r="D1005" s="50"/>
      <c r="E1005" s="89" t="s">
        <v>292</v>
      </c>
      <c r="F1005" s="124">
        <v>1</v>
      </c>
      <c r="G1005" s="125" t="s">
        <v>293</v>
      </c>
      <c r="H1005" s="33">
        <f t="shared" ref="H1005" si="857">IF(F1005=0,"",0)</f>
        <v>0</v>
      </c>
      <c r="I1005" s="82">
        <f t="shared" si="845"/>
        <v>1</v>
      </c>
      <c r="J1005" s="34">
        <f t="shared" ref="J1005" si="858">IF(F1005=0,"",0)</f>
        <v>0</v>
      </c>
      <c r="K1005" s="35">
        <f t="shared" si="846"/>
        <v>0</v>
      </c>
      <c r="L1005" s="36">
        <f t="shared" si="847"/>
        <v>73.03</v>
      </c>
      <c r="M1005" s="37">
        <f t="shared" ref="M1005" si="859">IF(F1005=0,"",0)</f>
        <v>0</v>
      </c>
      <c r="N1005" s="37">
        <f t="shared" si="848"/>
        <v>0</v>
      </c>
      <c r="O1005" s="35">
        <f t="shared" si="849"/>
        <v>0</v>
      </c>
      <c r="P1005" s="38">
        <f t="shared" si="850"/>
        <v>0</v>
      </c>
      <c r="Q1005" s="2"/>
    </row>
    <row r="1006" spans="1:17" s="28" customFormat="1" ht="19.149999999999999" customHeight="1" x14ac:dyDescent="0.25">
      <c r="A1006" s="122" t="str">
        <f>IF(TRIM(G1006)&lt;&gt;"",COUNTA(G$9:$G1006)&amp;"","")</f>
        <v/>
      </c>
      <c r="B1006" s="49"/>
      <c r="C1006" s="49"/>
      <c r="D1006" s="50" t="s">
        <v>155</v>
      </c>
      <c r="E1006" s="156" t="s">
        <v>154</v>
      </c>
      <c r="F1006" s="124"/>
      <c r="G1006" s="125"/>
      <c r="H1006" s="33" t="str">
        <f t="shared" si="842"/>
        <v/>
      </c>
      <c r="I1006" s="82" t="str">
        <f t="shared" si="837"/>
        <v/>
      </c>
      <c r="J1006" s="34" t="str">
        <f t="shared" si="843"/>
        <v/>
      </c>
      <c r="K1006" s="35" t="str">
        <f t="shared" si="838"/>
        <v/>
      </c>
      <c r="L1006" s="36" t="str">
        <f t="shared" ref="L1006:L1011" si="860">IF(F1006=0,"",L$963)</f>
        <v/>
      </c>
      <c r="M1006" s="37" t="str">
        <f t="shared" si="844"/>
        <v/>
      </c>
      <c r="N1006" s="37" t="str">
        <f t="shared" si="839"/>
        <v/>
      </c>
      <c r="O1006" s="35" t="str">
        <f t="shared" si="840"/>
        <v/>
      </c>
      <c r="P1006" s="38" t="str">
        <f t="shared" si="841"/>
        <v/>
      </c>
      <c r="Q1006" s="39"/>
    </row>
    <row r="1007" spans="1:17" x14ac:dyDescent="0.25">
      <c r="A1007" s="122" t="str">
        <f>IF(TRIM(G1007)&lt;&gt;"",COUNTA(G$9:$G1007)&amp;"","")</f>
        <v>804</v>
      </c>
      <c r="B1007" s="123" t="s">
        <v>473</v>
      </c>
      <c r="C1007" s="123" t="s">
        <v>472</v>
      </c>
      <c r="D1007" s="50"/>
      <c r="E1007" s="89" t="s">
        <v>276</v>
      </c>
      <c r="F1007" s="124">
        <v>35.28</v>
      </c>
      <c r="G1007" s="125" t="s">
        <v>214</v>
      </c>
      <c r="H1007" s="33">
        <v>0.1</v>
      </c>
      <c r="I1007" s="82">
        <f t="shared" si="837"/>
        <v>38.808</v>
      </c>
      <c r="J1007" s="34">
        <v>27.5</v>
      </c>
      <c r="K1007" s="35">
        <f t="shared" si="838"/>
        <v>1067.22</v>
      </c>
      <c r="L1007" s="36">
        <f t="shared" si="860"/>
        <v>73.03</v>
      </c>
      <c r="M1007" s="37">
        <v>0.04</v>
      </c>
      <c r="N1007" s="37">
        <f t="shared" si="839"/>
        <v>1.5523199999999999</v>
      </c>
      <c r="O1007" s="35">
        <f t="shared" si="840"/>
        <v>113.3659296</v>
      </c>
      <c r="P1007" s="38">
        <f t="shared" si="841"/>
        <v>1180.5859296000001</v>
      </c>
      <c r="Q1007" s="2"/>
    </row>
    <row r="1008" spans="1:17" s="28" customFormat="1" ht="19.149999999999999" customHeight="1" x14ac:dyDescent="0.25">
      <c r="A1008" s="122" t="str">
        <f>IF(TRIM(G1008)&lt;&gt;"",COUNTA(G$9:$G1008)&amp;"","")</f>
        <v/>
      </c>
      <c r="B1008" s="49"/>
      <c r="C1008" s="49"/>
      <c r="D1008" s="50" t="s">
        <v>157</v>
      </c>
      <c r="E1008" s="156" t="s">
        <v>156</v>
      </c>
      <c r="F1008" s="124"/>
      <c r="G1008" s="125"/>
      <c r="H1008" s="33" t="str">
        <f t="shared" si="842"/>
        <v/>
      </c>
      <c r="I1008" s="82" t="str">
        <f t="shared" si="837"/>
        <v/>
      </c>
      <c r="J1008" s="34" t="str">
        <f t="shared" si="843"/>
        <v/>
      </c>
      <c r="K1008" s="35" t="str">
        <f t="shared" si="838"/>
        <v/>
      </c>
      <c r="L1008" s="36" t="str">
        <f t="shared" si="860"/>
        <v/>
      </c>
      <c r="M1008" s="37" t="str">
        <f t="shared" si="844"/>
        <v/>
      </c>
      <c r="N1008" s="37" t="str">
        <f t="shared" si="839"/>
        <v/>
      </c>
      <c r="O1008" s="35" t="str">
        <f t="shared" si="840"/>
        <v/>
      </c>
      <c r="P1008" s="38" t="str">
        <f t="shared" si="841"/>
        <v/>
      </c>
      <c r="Q1008" s="39"/>
    </row>
    <row r="1009" spans="1:17" x14ac:dyDescent="0.25">
      <c r="A1009" s="122" t="str">
        <f>IF(TRIM(G1009)&lt;&gt;"",COUNTA(G$9:$G1009)&amp;"","")</f>
        <v>805</v>
      </c>
      <c r="B1009" s="123" t="s">
        <v>476</v>
      </c>
      <c r="C1009" s="123" t="s">
        <v>472</v>
      </c>
      <c r="D1009" s="50"/>
      <c r="E1009" s="89" t="s">
        <v>288</v>
      </c>
      <c r="F1009" s="124">
        <f>32.28*3.5*1.33/27</f>
        <v>5.5653111111111118</v>
      </c>
      <c r="G1009" s="125" t="s">
        <v>232</v>
      </c>
      <c r="H1009" s="33">
        <v>0.1</v>
      </c>
      <c r="I1009" s="82">
        <f>IF(F1009=0,"",F1009+(F1009*H1009))</f>
        <v>6.1218422222222229</v>
      </c>
      <c r="J1009" s="34">
        <v>288.39999999999998</v>
      </c>
      <c r="K1009" s="35">
        <f>IF(F1009=0,"",J1009*I1009)</f>
        <v>1765.5392968888889</v>
      </c>
      <c r="L1009" s="36">
        <f t="shared" si="860"/>
        <v>73.03</v>
      </c>
      <c r="M1009" s="37">
        <v>2.61</v>
      </c>
      <c r="N1009" s="37">
        <f>IF(F1009=0,"",M1009*I1009)</f>
        <v>15.978008200000001</v>
      </c>
      <c r="O1009" s="35">
        <f>IF(F1009=0,"",N1009*L1009)</f>
        <v>1166.8739388460001</v>
      </c>
      <c r="P1009" s="38">
        <f>IF(F1009=0,"",K1009+O1009)</f>
        <v>2932.413235734889</v>
      </c>
      <c r="Q1009" s="2"/>
    </row>
    <row r="1010" spans="1:17" x14ac:dyDescent="0.25">
      <c r="A1010" s="122" t="str">
        <f>IF(TRIM(G1010)&lt;&gt;"",COUNTA(G$9:$G1010)&amp;"","")</f>
        <v>806</v>
      </c>
      <c r="B1010" s="123" t="s">
        <v>476</v>
      </c>
      <c r="C1010" s="123" t="s">
        <v>472</v>
      </c>
      <c r="D1010" s="50"/>
      <c r="E1010" s="89" t="s">
        <v>298</v>
      </c>
      <c r="F1010" s="124">
        <f>444.53*3.5*1.33/27</f>
        <v>76.640264814814813</v>
      </c>
      <c r="G1010" s="125" t="s">
        <v>232</v>
      </c>
      <c r="H1010" s="33">
        <v>0.1</v>
      </c>
      <c r="I1010" s="82">
        <f t="shared" ref="I1010:I1011" si="861">IF(F1010=0,"",F1010+(F1010*H1010))</f>
        <v>84.304291296296299</v>
      </c>
      <c r="J1010" s="34">
        <v>288.39999999999998</v>
      </c>
      <c r="K1010" s="35">
        <f t="shared" ref="K1010:K1011" si="862">IF(F1010=0,"",J1010*I1010)</f>
        <v>24313.35760985185</v>
      </c>
      <c r="L1010" s="36">
        <f t="shared" si="860"/>
        <v>73.03</v>
      </c>
      <c r="M1010" s="37">
        <v>2.61</v>
      </c>
      <c r="N1010" s="37">
        <f t="shared" ref="N1010:N1011" si="863">IF(F1010=0,"",M1010*I1010)</f>
        <v>220.03420028333332</v>
      </c>
      <c r="O1010" s="35">
        <f t="shared" ref="O1010:O1011" si="864">IF(F1010=0,"",N1010*L1010)</f>
        <v>16069.097646691833</v>
      </c>
      <c r="P1010" s="38">
        <f t="shared" ref="P1010:P1011" si="865">IF(F1010=0,"",K1010+O1010)</f>
        <v>40382.455256543682</v>
      </c>
      <c r="Q1010" s="2"/>
    </row>
    <row r="1011" spans="1:17" x14ac:dyDescent="0.25">
      <c r="A1011" s="122" t="str">
        <f>IF(TRIM(G1011)&lt;&gt;"",COUNTA(G$9:$G1011)&amp;"","")</f>
        <v>807</v>
      </c>
      <c r="B1011" s="123" t="s">
        <v>476</v>
      </c>
      <c r="C1011" s="123" t="s">
        <v>472</v>
      </c>
      <c r="D1011" s="50"/>
      <c r="E1011" s="89" t="s">
        <v>299</v>
      </c>
      <c r="F1011" s="124">
        <f>444.53*5.5*1.17/27</f>
        <v>105.94631666666666</v>
      </c>
      <c r="G1011" s="125" t="s">
        <v>232</v>
      </c>
      <c r="H1011" s="33">
        <v>0.1</v>
      </c>
      <c r="I1011" s="82">
        <f t="shared" si="861"/>
        <v>116.54094833333333</v>
      </c>
      <c r="J1011" s="34">
        <v>288.39999999999998</v>
      </c>
      <c r="K1011" s="35">
        <f t="shared" si="862"/>
        <v>33610.409499333327</v>
      </c>
      <c r="L1011" s="36">
        <f t="shared" si="860"/>
        <v>73.03</v>
      </c>
      <c r="M1011" s="37">
        <v>2.61</v>
      </c>
      <c r="N1011" s="37">
        <f t="shared" si="863"/>
        <v>304.17187515000001</v>
      </c>
      <c r="O1011" s="35">
        <f t="shared" si="864"/>
        <v>22213.6720422045</v>
      </c>
      <c r="P1011" s="38">
        <f t="shared" si="865"/>
        <v>55824.081541537831</v>
      </c>
      <c r="Q1011" s="2"/>
    </row>
    <row r="1012" spans="1:17" x14ac:dyDescent="0.25">
      <c r="A1012" s="122" t="str">
        <f>IF(TRIM(G1012)&lt;&gt;"",COUNTA(G$9:$G1012)&amp;"","")</f>
        <v>808</v>
      </c>
      <c r="B1012" s="123" t="s">
        <v>476</v>
      </c>
      <c r="C1012" s="123" t="s">
        <v>472</v>
      </c>
      <c r="D1012" s="50"/>
      <c r="E1012" s="89" t="s">
        <v>302</v>
      </c>
      <c r="F1012" s="124">
        <f>32.28*4.5</f>
        <v>145.26</v>
      </c>
      <c r="G1012" s="125" t="s">
        <v>214</v>
      </c>
      <c r="H1012" s="33">
        <v>0.1</v>
      </c>
      <c r="I1012" s="82">
        <f t="shared" ref="I1012" si="866">IF(F1012=0,"",F1012+(F1012*H1012))</f>
        <v>159.786</v>
      </c>
      <c r="J1012" s="34">
        <v>5.5</v>
      </c>
      <c r="K1012" s="35">
        <f t="shared" ref="K1012" si="867">IF(F1012=0,"",J1012*I1012)</f>
        <v>878.82299999999998</v>
      </c>
      <c r="L1012" s="36">
        <f t="shared" ref="L1012" si="868">IF(F1012=0,"",L$963)</f>
        <v>73.03</v>
      </c>
      <c r="M1012" s="37">
        <v>0.111</v>
      </c>
      <c r="N1012" s="37">
        <f t="shared" ref="N1012" si="869">IF(F1012=0,"",M1012*I1012)</f>
        <v>17.736246000000001</v>
      </c>
      <c r="O1012" s="35">
        <f t="shared" ref="O1012" si="870">IF(F1012=0,"",N1012*L1012)</f>
        <v>1295.2780453800001</v>
      </c>
      <c r="P1012" s="38">
        <f t="shared" ref="P1012" si="871">IF(F1012=0,"",K1012+O1012)</f>
        <v>2174.10104538</v>
      </c>
      <c r="Q1012" s="2"/>
    </row>
    <row r="1013" spans="1:17" ht="30" x14ac:dyDescent="0.25">
      <c r="A1013" s="122" t="str">
        <f>IF(TRIM(G1013)&lt;&gt;"",COUNTA(G$9:$G1013)&amp;"","")</f>
        <v>809</v>
      </c>
      <c r="B1013" s="123" t="s">
        <v>476</v>
      </c>
      <c r="C1013" s="123" t="s">
        <v>472</v>
      </c>
      <c r="D1013" s="50"/>
      <c r="E1013" s="195" t="s">
        <v>300</v>
      </c>
      <c r="F1013" s="124">
        <v>444.53</v>
      </c>
      <c r="G1013" s="125" t="s">
        <v>228</v>
      </c>
      <c r="H1013" s="33">
        <v>0.1</v>
      </c>
      <c r="I1013" s="82">
        <f t="shared" ref="I1013" si="872">IF(F1013=0,"",F1013+(F1013*H1013))</f>
        <v>488.98299999999995</v>
      </c>
      <c r="J1013" s="34">
        <v>9.52</v>
      </c>
      <c r="K1013" s="35">
        <f t="shared" ref="K1013" si="873">IF(F1013=0,"",J1013*I1013)</f>
        <v>4655.1181599999991</v>
      </c>
      <c r="L1013" s="36">
        <f t="shared" ref="L1013" si="874">IF(F1013=0,"",L$963)</f>
        <v>73.03</v>
      </c>
      <c r="M1013" s="37">
        <v>0.16600000000000001</v>
      </c>
      <c r="N1013" s="37">
        <f t="shared" ref="N1013" si="875">IF(F1013=0,"",M1013*I1013)</f>
        <v>81.171177999999998</v>
      </c>
      <c r="O1013" s="35">
        <f t="shared" ref="O1013" si="876">IF(F1013=0,"",N1013*L1013)</f>
        <v>5927.9311293399996</v>
      </c>
      <c r="P1013" s="38">
        <f t="shared" ref="P1013" si="877">IF(F1013=0,"",K1013+O1013)</f>
        <v>10583.049289339999</v>
      </c>
      <c r="Q1013" s="2"/>
    </row>
    <row r="1014" spans="1:17" ht="45" x14ac:dyDescent="0.25">
      <c r="A1014" s="122" t="str">
        <f>IF(TRIM(G1014)&lt;&gt;"",COUNTA(G$9:$G1014)&amp;"","")</f>
        <v>810</v>
      </c>
      <c r="B1014" s="123" t="s">
        <v>476</v>
      </c>
      <c r="C1014" s="123" t="s">
        <v>472</v>
      </c>
      <c r="D1014" s="50"/>
      <c r="E1014" s="89" t="s">
        <v>301</v>
      </c>
      <c r="F1014" s="124">
        <f>0.66*3050.09/27</f>
        <v>74.557755555555559</v>
      </c>
      <c r="G1014" s="125" t="s">
        <v>232</v>
      </c>
      <c r="H1014" s="33">
        <v>0.1</v>
      </c>
      <c r="I1014" s="82">
        <f t="shared" ref="I1014" si="878">IF(F1014=0,"",F1014+(F1014*H1014))</f>
        <v>82.013531111111121</v>
      </c>
      <c r="J1014" s="34">
        <v>288.39999999999998</v>
      </c>
      <c r="K1014" s="35">
        <f t="shared" ref="K1014" si="879">IF(F1014=0,"",J1014*I1014)</f>
        <v>23652.702372444444</v>
      </c>
      <c r="L1014" s="36">
        <f t="shared" ref="L1014" si="880">IF(F1014=0,"",L$963)</f>
        <v>73.03</v>
      </c>
      <c r="M1014" s="37">
        <v>2.605</v>
      </c>
      <c r="N1014" s="37">
        <f t="shared" ref="N1014" si="881">IF(F1014=0,"",M1014*I1014)</f>
        <v>213.64524854444446</v>
      </c>
      <c r="O1014" s="35">
        <f t="shared" ref="O1014" si="882">IF(F1014=0,"",N1014*L1014)</f>
        <v>15602.512501200779</v>
      </c>
      <c r="P1014" s="38">
        <f t="shared" ref="P1014" si="883">IF(F1014=0,"",K1014+O1014)</f>
        <v>39255.214873645222</v>
      </c>
      <c r="Q1014" s="2"/>
    </row>
    <row r="1015" spans="1:17" s="28" customFormat="1" ht="19.149999999999999" customHeight="1" x14ac:dyDescent="0.25">
      <c r="A1015" s="122" t="str">
        <f>IF(TRIM(G1015)&lt;&gt;"",COUNTA(G$9:$G1015)&amp;"","")</f>
        <v/>
      </c>
      <c r="B1015" s="49"/>
      <c r="C1015" s="49"/>
      <c r="D1015" s="50" t="s">
        <v>158</v>
      </c>
      <c r="E1015" s="156" t="s">
        <v>133</v>
      </c>
      <c r="F1015" s="124"/>
      <c r="G1015" s="125"/>
      <c r="H1015" s="33" t="str">
        <f t="shared" si="842"/>
        <v/>
      </c>
      <c r="I1015" s="82" t="str">
        <f t="shared" si="837"/>
        <v/>
      </c>
      <c r="J1015" s="34" t="str">
        <f t="shared" si="843"/>
        <v/>
      </c>
      <c r="K1015" s="35" t="str">
        <f t="shared" si="838"/>
        <v/>
      </c>
      <c r="L1015" s="36" t="str">
        <f>IF(F1015=0,"",L$963)</f>
        <v/>
      </c>
      <c r="M1015" s="37" t="str">
        <f t="shared" si="844"/>
        <v/>
      </c>
      <c r="N1015" s="37" t="str">
        <f t="shared" si="839"/>
        <v/>
      </c>
      <c r="O1015" s="35" t="str">
        <f t="shared" si="840"/>
        <v/>
      </c>
      <c r="P1015" s="38" t="str">
        <f t="shared" si="841"/>
        <v/>
      </c>
      <c r="Q1015" s="39"/>
    </row>
    <row r="1016" spans="1:17" ht="30" x14ac:dyDescent="0.25">
      <c r="A1016" s="122" t="str">
        <f>IF(TRIM(G1016)&lt;&gt;"",COUNTA(G$9:$G1016)&amp;"","")</f>
        <v>811</v>
      </c>
      <c r="B1016" s="123" t="s">
        <v>473</v>
      </c>
      <c r="C1016" s="123" t="s">
        <v>472</v>
      </c>
      <c r="D1016" s="50"/>
      <c r="E1016" s="89" t="s">
        <v>279</v>
      </c>
      <c r="F1016" s="124">
        <v>746.06</v>
      </c>
      <c r="G1016" s="125" t="s">
        <v>228</v>
      </c>
      <c r="H1016" s="33">
        <v>0.1</v>
      </c>
      <c r="I1016" s="82">
        <f t="shared" si="837"/>
        <v>820.66599999999994</v>
      </c>
      <c r="J1016" s="34">
        <v>13.56</v>
      </c>
      <c r="K1016" s="35">
        <f t="shared" si="838"/>
        <v>11128.230959999999</v>
      </c>
      <c r="L1016" s="36">
        <f>IF(F1016=0,"",L$963)</f>
        <v>73.03</v>
      </c>
      <c r="M1016" s="37">
        <v>0.24</v>
      </c>
      <c r="N1016" s="37">
        <f t="shared" si="839"/>
        <v>196.95983999999999</v>
      </c>
      <c r="O1016" s="35">
        <f t="shared" si="840"/>
        <v>14383.977115199999</v>
      </c>
      <c r="P1016" s="38">
        <f t="shared" si="841"/>
        <v>25512.208075199997</v>
      </c>
      <c r="Q1016" s="2"/>
    </row>
    <row r="1017" spans="1:17" x14ac:dyDescent="0.25">
      <c r="A1017" s="122" t="str">
        <f>IF(TRIM(G1017)&lt;&gt;"",COUNTA(G$9:$G1017)&amp;"","")</f>
        <v>812</v>
      </c>
      <c r="B1017" s="123" t="s">
        <v>473</v>
      </c>
      <c r="C1017" s="123" t="s">
        <v>472</v>
      </c>
      <c r="D1017" s="50"/>
      <c r="E1017" s="89" t="s">
        <v>282</v>
      </c>
      <c r="F1017" s="124">
        <v>951.06</v>
      </c>
      <c r="G1017" s="125" t="s">
        <v>228</v>
      </c>
      <c r="H1017" s="33">
        <v>0.1</v>
      </c>
      <c r="I1017" s="82">
        <f t="shared" si="837"/>
        <v>1046.1659999999999</v>
      </c>
      <c r="J1017" s="34">
        <v>0.14000000000000001</v>
      </c>
      <c r="K1017" s="35">
        <f t="shared" si="838"/>
        <v>146.46324000000001</v>
      </c>
      <c r="L1017" s="36">
        <f>IF(F1017=0,"",L$963)</f>
        <v>73.03</v>
      </c>
      <c r="M1017" s="216">
        <v>2E-3</v>
      </c>
      <c r="N1017" s="37">
        <f t="shared" si="839"/>
        <v>2.0923319999999999</v>
      </c>
      <c r="O1017" s="35">
        <f t="shared" si="840"/>
        <v>152.80300595999998</v>
      </c>
      <c r="P1017" s="38">
        <f t="shared" si="841"/>
        <v>299.26624595999999</v>
      </c>
      <c r="Q1017" s="2"/>
    </row>
    <row r="1018" spans="1:17" x14ac:dyDescent="0.25">
      <c r="A1018" s="122" t="str">
        <f>IF(TRIM(G1018)&lt;&gt;"",COUNTA(G$9:$G1018)&amp;"","")</f>
        <v>813</v>
      </c>
      <c r="B1018" s="123" t="s">
        <v>473</v>
      </c>
      <c r="C1018" s="123" t="s">
        <v>472</v>
      </c>
      <c r="D1018" s="50"/>
      <c r="E1018" s="89" t="s">
        <v>283</v>
      </c>
      <c r="F1018" s="124">
        <v>693.02</v>
      </c>
      <c r="G1018" s="125" t="s">
        <v>228</v>
      </c>
      <c r="H1018" s="33">
        <v>0.1</v>
      </c>
      <c r="I1018" s="82">
        <f t="shared" si="837"/>
        <v>762.322</v>
      </c>
      <c r="J1018" s="34">
        <v>0.14000000000000001</v>
      </c>
      <c r="K1018" s="35">
        <f t="shared" si="838"/>
        <v>106.72508000000001</v>
      </c>
      <c r="L1018" s="36">
        <f>IF(F1018=0,"",L$963)</f>
        <v>73.03</v>
      </c>
      <c r="M1018" s="216">
        <v>2E-3</v>
      </c>
      <c r="N1018" s="37">
        <f t="shared" si="839"/>
        <v>1.5246440000000001</v>
      </c>
      <c r="O1018" s="35">
        <f t="shared" si="840"/>
        <v>111.34475132000001</v>
      </c>
      <c r="P1018" s="38">
        <f t="shared" si="841"/>
        <v>218.06983132000002</v>
      </c>
      <c r="Q1018" s="2"/>
    </row>
    <row r="1019" spans="1:17" x14ac:dyDescent="0.25">
      <c r="A1019" s="122" t="str">
        <f>IF(TRIM(G1019)&lt;&gt;"",COUNTA(G$9:$G1019)&amp;"","")</f>
        <v>814</v>
      </c>
      <c r="B1019" s="123" t="s">
        <v>473</v>
      </c>
      <c r="C1019" s="123" t="s">
        <v>472</v>
      </c>
      <c r="D1019" s="50"/>
      <c r="E1019" s="89" t="s">
        <v>285</v>
      </c>
      <c r="F1019" s="124">
        <v>3</v>
      </c>
      <c r="G1019" s="125" t="s">
        <v>250</v>
      </c>
      <c r="H1019" s="33">
        <f t="shared" ref="H1019:H1021" si="884">IF(F1019=0,"",0)</f>
        <v>0</v>
      </c>
      <c r="I1019" s="82">
        <f t="shared" ref="I1019:I1021" si="885">IF(F1019=0,"",F1019+(F1019*H1019))</f>
        <v>3</v>
      </c>
      <c r="J1019" s="34">
        <f>108*5.66</f>
        <v>611.28</v>
      </c>
      <c r="K1019" s="35">
        <f t="shared" ref="K1019:K1021" si="886">IF(F1019=0,"",J1019*I1019)</f>
        <v>1833.84</v>
      </c>
      <c r="L1019" s="36">
        <f t="shared" ref="L1019:L1021" si="887">IF(F1019=0,"",L$963)</f>
        <v>73.03</v>
      </c>
      <c r="M1019" s="37">
        <f>0.8*5.66</f>
        <v>4.5280000000000005</v>
      </c>
      <c r="N1019" s="37">
        <f t="shared" ref="N1019:N1021" si="888">IF(F1019=0,"",M1019*I1019)</f>
        <v>13.584000000000001</v>
      </c>
      <c r="O1019" s="35">
        <f t="shared" ref="O1019:O1021" si="889">IF(F1019=0,"",N1019*L1019)</f>
        <v>992.03952000000015</v>
      </c>
      <c r="P1019" s="38">
        <f t="shared" ref="P1019:P1021" si="890">IF(F1019=0,"",K1019+O1019)</f>
        <v>2825.87952</v>
      </c>
      <c r="Q1019" s="2"/>
    </row>
    <row r="1020" spans="1:17" x14ac:dyDescent="0.25">
      <c r="A1020" s="122" t="str">
        <f>IF(TRIM(G1020)&lt;&gt;"",COUNTA(G$9:$G1020)&amp;"","")</f>
        <v>815</v>
      </c>
      <c r="B1020" s="123" t="s">
        <v>473</v>
      </c>
      <c r="C1020" s="123" t="s">
        <v>472</v>
      </c>
      <c r="D1020" s="50"/>
      <c r="E1020" s="89" t="s">
        <v>286</v>
      </c>
      <c r="F1020" s="124">
        <v>4</v>
      </c>
      <c r="G1020" s="125" t="s">
        <v>250</v>
      </c>
      <c r="H1020" s="33">
        <f t="shared" si="884"/>
        <v>0</v>
      </c>
      <c r="I1020" s="82">
        <f t="shared" si="885"/>
        <v>4</v>
      </c>
      <c r="J1020" s="34">
        <f>108*6.33</f>
        <v>683.64</v>
      </c>
      <c r="K1020" s="35">
        <f t="shared" si="886"/>
        <v>2734.56</v>
      </c>
      <c r="L1020" s="36">
        <f t="shared" si="887"/>
        <v>73.03</v>
      </c>
      <c r="M1020" s="37">
        <f>0.8*6.33</f>
        <v>5.0640000000000001</v>
      </c>
      <c r="N1020" s="37">
        <f t="shared" si="888"/>
        <v>20.256</v>
      </c>
      <c r="O1020" s="35">
        <f t="shared" si="889"/>
        <v>1479.2956799999999</v>
      </c>
      <c r="P1020" s="38">
        <f t="shared" si="890"/>
        <v>4213.8556799999997</v>
      </c>
      <c r="Q1020" s="2"/>
    </row>
    <row r="1021" spans="1:17" ht="30" x14ac:dyDescent="0.25">
      <c r="A1021" s="122" t="str">
        <f>IF(TRIM(G1021)&lt;&gt;"",COUNTA(G$9:$G1021)&amp;"","")</f>
        <v>816</v>
      </c>
      <c r="B1021" s="123" t="s">
        <v>473</v>
      </c>
      <c r="C1021" s="123" t="s">
        <v>472</v>
      </c>
      <c r="D1021" s="50"/>
      <c r="E1021" s="89" t="s">
        <v>289</v>
      </c>
      <c r="F1021" s="124">
        <v>1</v>
      </c>
      <c r="G1021" s="125" t="s">
        <v>250</v>
      </c>
      <c r="H1021" s="33">
        <f t="shared" si="884"/>
        <v>0</v>
      </c>
      <c r="I1021" s="82">
        <f t="shared" si="885"/>
        <v>1</v>
      </c>
      <c r="J1021" s="34">
        <f t="shared" ref="J1021" si="891">IF(F1021=0,"",0)</f>
        <v>0</v>
      </c>
      <c r="K1021" s="35">
        <f t="shared" si="886"/>
        <v>0</v>
      </c>
      <c r="L1021" s="36">
        <f t="shared" si="887"/>
        <v>73.03</v>
      </c>
      <c r="M1021" s="37">
        <f t="shared" ref="M1021" si="892">IF(F1021=0,"",0)</f>
        <v>0</v>
      </c>
      <c r="N1021" s="37">
        <f t="shared" si="888"/>
        <v>0</v>
      </c>
      <c r="O1021" s="35">
        <f t="shared" si="889"/>
        <v>0</v>
      </c>
      <c r="P1021" s="38">
        <f t="shared" si="890"/>
        <v>0</v>
      </c>
      <c r="Q1021" s="2"/>
    </row>
    <row r="1022" spans="1:17" s="28" customFormat="1" ht="19.149999999999999" customHeight="1" x14ac:dyDescent="0.25">
      <c r="A1022" s="122" t="str">
        <f>IF(TRIM(G1022)&lt;&gt;"",COUNTA(G$9:$G1022)&amp;"","")</f>
        <v/>
      </c>
      <c r="B1022" s="49"/>
      <c r="C1022" s="49"/>
      <c r="D1022" s="50" t="s">
        <v>160</v>
      </c>
      <c r="E1022" s="156" t="s">
        <v>159</v>
      </c>
      <c r="F1022" s="124"/>
      <c r="G1022" s="125"/>
      <c r="H1022" s="33" t="str">
        <f t="shared" si="842"/>
        <v/>
      </c>
      <c r="I1022" s="82" t="str">
        <f t="shared" si="837"/>
        <v/>
      </c>
      <c r="J1022" s="34" t="str">
        <f t="shared" si="843"/>
        <v/>
      </c>
      <c r="K1022" s="35" t="str">
        <f t="shared" si="838"/>
        <v/>
      </c>
      <c r="L1022" s="36" t="str">
        <f>IF(F1022=0,"",L$963)</f>
        <v/>
      </c>
      <c r="M1022" s="37" t="str">
        <f t="shared" si="844"/>
        <v/>
      </c>
      <c r="N1022" s="37" t="str">
        <f t="shared" si="839"/>
        <v/>
      </c>
      <c r="O1022" s="35" t="str">
        <f t="shared" si="840"/>
        <v/>
      </c>
      <c r="P1022" s="38" t="str">
        <f t="shared" si="841"/>
        <v/>
      </c>
      <c r="Q1022" s="39"/>
    </row>
    <row r="1023" spans="1:17" x14ac:dyDescent="0.25">
      <c r="A1023" s="122" t="str">
        <f>IF(TRIM(G1023)&lt;&gt;"",COUNTA(G$9:$G1023)&amp;"","")</f>
        <v/>
      </c>
      <c r="B1023" s="123"/>
      <c r="C1023" s="123"/>
      <c r="D1023" s="50"/>
      <c r="E1023" s="196" t="s">
        <v>364</v>
      </c>
      <c r="F1023" s="124"/>
      <c r="G1023" s="125"/>
      <c r="H1023" s="33"/>
      <c r="I1023" s="82"/>
      <c r="J1023" s="34"/>
      <c r="K1023" s="35"/>
      <c r="L1023" s="36"/>
      <c r="M1023" s="37"/>
      <c r="N1023" s="37"/>
      <c r="O1023" s="35"/>
      <c r="P1023" s="38"/>
      <c r="Q1023" s="2"/>
    </row>
    <row r="1024" spans="1:17" ht="30" x14ac:dyDescent="0.25">
      <c r="A1024" s="122" t="str">
        <f>IF(TRIM(G1024)&lt;&gt;"",COUNTA(G$9:$G1024)&amp;"","")</f>
        <v>817</v>
      </c>
      <c r="B1024" s="123" t="s">
        <v>474</v>
      </c>
      <c r="C1024" s="123" t="s">
        <v>474</v>
      </c>
      <c r="D1024" s="50"/>
      <c r="E1024" s="89" t="s">
        <v>363</v>
      </c>
      <c r="F1024" s="124">
        <f>98.77*0.42/27</f>
        <v>1.5364222222222221</v>
      </c>
      <c r="G1024" s="125" t="s">
        <v>232</v>
      </c>
      <c r="H1024" s="33">
        <v>0.1</v>
      </c>
      <c r="I1024" s="82">
        <f t="shared" si="837"/>
        <v>1.6900644444444444</v>
      </c>
      <c r="J1024" s="34">
        <v>288.39999999999998</v>
      </c>
      <c r="K1024" s="35">
        <f t="shared" si="838"/>
        <v>487.41458577777775</v>
      </c>
      <c r="L1024" s="36">
        <f>IF(F1024=0,"",L$963)</f>
        <v>73.03</v>
      </c>
      <c r="M1024" s="37">
        <v>2.61</v>
      </c>
      <c r="N1024" s="37">
        <f t="shared" si="839"/>
        <v>4.4110681999999999</v>
      </c>
      <c r="O1024" s="35">
        <f t="shared" si="840"/>
        <v>322.14031064599999</v>
      </c>
      <c r="P1024" s="38">
        <f t="shared" si="841"/>
        <v>809.55489642377779</v>
      </c>
      <c r="Q1024" s="2"/>
    </row>
    <row r="1025" spans="1:17" x14ac:dyDescent="0.25">
      <c r="A1025" s="122" t="str">
        <f>IF(TRIM(G1025)&lt;&gt;"",COUNTA(G$9:$G1025)&amp;"","")</f>
        <v>818</v>
      </c>
      <c r="B1025" s="123" t="s">
        <v>474</v>
      </c>
      <c r="C1025" s="123" t="s">
        <v>474</v>
      </c>
      <c r="D1025" s="50"/>
      <c r="E1025" s="89" t="s">
        <v>361</v>
      </c>
      <c r="F1025" s="124">
        <f>40.08*1.5*1.083/27</f>
        <v>2.4114800000000001</v>
      </c>
      <c r="G1025" s="125" t="s">
        <v>232</v>
      </c>
      <c r="H1025" s="33">
        <v>0.1</v>
      </c>
      <c r="I1025" s="82">
        <f t="shared" si="837"/>
        <v>2.652628</v>
      </c>
      <c r="J1025" s="34">
        <v>288.39999999999998</v>
      </c>
      <c r="K1025" s="35">
        <f t="shared" si="838"/>
        <v>765.01791519999995</v>
      </c>
      <c r="L1025" s="36">
        <f>IF(F1025=0,"",L$963)</f>
        <v>73.03</v>
      </c>
      <c r="M1025" s="37">
        <v>2.61</v>
      </c>
      <c r="N1025" s="37">
        <f t="shared" si="839"/>
        <v>6.92335908</v>
      </c>
      <c r="O1025" s="35">
        <f t="shared" si="840"/>
        <v>505.61291361240001</v>
      </c>
      <c r="P1025" s="38">
        <f t="shared" si="841"/>
        <v>1270.6308288124001</v>
      </c>
      <c r="Q1025" s="2"/>
    </row>
    <row r="1026" spans="1:17" x14ac:dyDescent="0.25">
      <c r="A1026" s="122" t="str">
        <f>IF(TRIM(G1026)&lt;&gt;"",COUNTA(G$9:$G1026)&amp;"","")</f>
        <v/>
      </c>
      <c r="B1026" s="123"/>
      <c r="C1026" s="123"/>
      <c r="D1026" s="50"/>
      <c r="E1026" s="196" t="s">
        <v>365</v>
      </c>
      <c r="F1026" s="124"/>
      <c r="G1026" s="125"/>
      <c r="H1026" s="33"/>
      <c r="I1026" s="82"/>
      <c r="J1026" s="34"/>
      <c r="K1026" s="35"/>
      <c r="L1026" s="36"/>
      <c r="M1026" s="37"/>
      <c r="N1026" s="37"/>
      <c r="O1026" s="35"/>
      <c r="P1026" s="38"/>
      <c r="Q1026" s="2"/>
    </row>
    <row r="1027" spans="1:17" ht="30" x14ac:dyDescent="0.25">
      <c r="A1027" s="122" t="str">
        <f>IF(TRIM(G1027)&lt;&gt;"",COUNTA(G$9:$G1027)&amp;"","")</f>
        <v>819</v>
      </c>
      <c r="B1027" s="123" t="s">
        <v>474</v>
      </c>
      <c r="C1027" s="123" t="s">
        <v>474</v>
      </c>
      <c r="D1027" s="50"/>
      <c r="E1027" s="89" t="s">
        <v>362</v>
      </c>
      <c r="F1027" s="124">
        <f>26.22*6.67</f>
        <v>174.88739999999999</v>
      </c>
      <c r="G1027" s="125" t="s">
        <v>214</v>
      </c>
      <c r="H1027" s="33">
        <v>0.1</v>
      </c>
      <c r="I1027" s="82">
        <f t="shared" ref="I1027:I1033" si="893">IF(F1027=0,"",F1027+(F1027*H1027))</f>
        <v>192.37613999999999</v>
      </c>
      <c r="J1027" s="34">
        <v>5.5</v>
      </c>
      <c r="K1027" s="35">
        <f t="shared" ref="K1027:K1033" si="894">IF(F1027=0,"",J1027*I1027)</f>
        <v>1058.0687699999999</v>
      </c>
      <c r="L1027" s="36">
        <f t="shared" ref="L1027:L1033" si="895">IF(F1027=0,"",L$963)</f>
        <v>73.03</v>
      </c>
      <c r="M1027" s="37">
        <v>0.111</v>
      </c>
      <c r="N1027" s="37">
        <f t="shared" ref="N1027:N1033" si="896">IF(F1027=0,"",M1027*I1027)</f>
        <v>21.353751540000001</v>
      </c>
      <c r="O1027" s="35">
        <f t="shared" ref="O1027:O1033" si="897">IF(F1027=0,"",N1027*L1027)</f>
        <v>1559.4644749662002</v>
      </c>
      <c r="P1027" s="38">
        <f t="shared" ref="P1027:P1033" si="898">IF(F1027=0,"",K1027+O1027)</f>
        <v>2617.5332449662001</v>
      </c>
      <c r="Q1027" s="2"/>
    </row>
    <row r="1028" spans="1:17" x14ac:dyDescent="0.25">
      <c r="A1028" s="122" t="str">
        <f>IF(TRIM(G1028)&lt;&gt;"",COUNTA(G$9:$G1028)&amp;"","")</f>
        <v/>
      </c>
      <c r="B1028" s="123"/>
      <c r="C1028" s="123"/>
      <c r="D1028" s="50"/>
      <c r="E1028" s="196" t="s">
        <v>251</v>
      </c>
      <c r="F1028" s="124"/>
      <c r="G1028" s="125"/>
      <c r="H1028" s="33"/>
      <c r="I1028" s="82"/>
      <c r="J1028" s="34"/>
      <c r="K1028" s="35"/>
      <c r="L1028" s="36"/>
      <c r="M1028" s="37"/>
      <c r="N1028" s="37"/>
      <c r="O1028" s="35"/>
      <c r="P1028" s="38"/>
      <c r="Q1028" s="2"/>
    </row>
    <row r="1029" spans="1:17" x14ac:dyDescent="0.25">
      <c r="A1029" s="122" t="str">
        <f>IF(TRIM(G1029)&lt;&gt;"",COUNTA(G$9:$G1029)&amp;"","")</f>
        <v>820</v>
      </c>
      <c r="B1029" s="123" t="s">
        <v>474</v>
      </c>
      <c r="C1029" s="123" t="s">
        <v>474</v>
      </c>
      <c r="D1029" s="50"/>
      <c r="E1029" s="89" t="s">
        <v>367</v>
      </c>
      <c r="F1029" s="124">
        <f>163*1.023</f>
        <v>166.749</v>
      </c>
      <c r="G1029" s="125" t="s">
        <v>214</v>
      </c>
      <c r="H1029" s="33">
        <v>0.1</v>
      </c>
      <c r="I1029" s="82">
        <f t="shared" ref="I1029:I1030" si="899">IF(F1029=0,"",F1029+(F1029*H1029))</f>
        <v>183.4239</v>
      </c>
      <c r="J1029" s="34">
        <f>2750/100</f>
        <v>27.5</v>
      </c>
      <c r="K1029" s="35">
        <f t="shared" ref="K1029:K1030" si="900">IF(F1029=0,"",J1029*I1029)</f>
        <v>5044.1572500000002</v>
      </c>
      <c r="L1029" s="36">
        <f t="shared" ref="L1029:L1030" si="901">IF(F1029=0,"",L$963)</f>
        <v>73.03</v>
      </c>
      <c r="M1029" s="37">
        <f>6.154/100</f>
        <v>6.1539999999999997E-2</v>
      </c>
      <c r="N1029" s="37">
        <f t="shared" ref="N1029:N1030" si="902">IF(F1029=0,"",M1029*I1029)</f>
        <v>11.287906806000001</v>
      </c>
      <c r="O1029" s="35">
        <f t="shared" ref="O1029:O1030" si="903">IF(F1029=0,"",N1029*L1029)</f>
        <v>824.35583404218005</v>
      </c>
      <c r="P1029" s="38">
        <f t="shared" ref="P1029:P1030" si="904">IF(F1029=0,"",K1029+O1029)</f>
        <v>5868.5130840421807</v>
      </c>
      <c r="Q1029" s="2"/>
    </row>
    <row r="1030" spans="1:17" x14ac:dyDescent="0.25">
      <c r="A1030" s="122" t="str">
        <f>IF(TRIM(G1030)&lt;&gt;"",COUNTA(G$9:$G1030)&amp;"","")</f>
        <v>821</v>
      </c>
      <c r="B1030" s="123" t="s">
        <v>474</v>
      </c>
      <c r="C1030" s="123" t="s">
        <v>474</v>
      </c>
      <c r="D1030" s="50"/>
      <c r="E1030" s="89" t="s">
        <v>368</v>
      </c>
      <c r="F1030" s="124">
        <v>52</v>
      </c>
      <c r="G1030" s="125" t="s">
        <v>228</v>
      </c>
      <c r="H1030" s="33">
        <v>0.1</v>
      </c>
      <c r="I1030" s="82">
        <f t="shared" si="899"/>
        <v>57.2</v>
      </c>
      <c r="J1030" s="34">
        <v>2.5499999999999998</v>
      </c>
      <c r="K1030" s="35">
        <f t="shared" si="900"/>
        <v>145.85999999999999</v>
      </c>
      <c r="L1030" s="36">
        <f t="shared" si="901"/>
        <v>73.03</v>
      </c>
      <c r="M1030" s="37">
        <v>0.02</v>
      </c>
      <c r="N1030" s="37">
        <f t="shared" si="902"/>
        <v>1.1440000000000001</v>
      </c>
      <c r="O1030" s="35">
        <f t="shared" si="903"/>
        <v>83.546320000000009</v>
      </c>
      <c r="P1030" s="38">
        <f t="shared" si="904"/>
        <v>229.40631999999999</v>
      </c>
      <c r="Q1030" s="2"/>
    </row>
    <row r="1031" spans="1:17" x14ac:dyDescent="0.25">
      <c r="A1031" s="122" t="str">
        <f>IF(TRIM(G1031)&lt;&gt;"",COUNTA(G$9:$G1031)&amp;"","")</f>
        <v/>
      </c>
      <c r="B1031" s="123"/>
      <c r="C1031" s="123"/>
      <c r="D1031" s="50"/>
      <c r="E1031" s="196" t="s">
        <v>366</v>
      </c>
      <c r="F1031" s="124"/>
      <c r="G1031" s="125"/>
      <c r="H1031" s="33"/>
      <c r="I1031" s="82"/>
      <c r="J1031" s="34"/>
      <c r="K1031" s="35"/>
      <c r="L1031" s="36"/>
      <c r="M1031" s="37"/>
      <c r="N1031" s="37"/>
      <c r="O1031" s="35"/>
      <c r="P1031" s="38"/>
      <c r="Q1031" s="2"/>
    </row>
    <row r="1032" spans="1:17" x14ac:dyDescent="0.25">
      <c r="A1032" s="122" t="str">
        <f>IF(TRIM(G1032)&lt;&gt;"",COUNTA(G$9:$G1032)&amp;"","")</f>
        <v>822</v>
      </c>
      <c r="B1032" s="123" t="s">
        <v>474</v>
      </c>
      <c r="C1032" s="123" t="s">
        <v>474</v>
      </c>
      <c r="D1032" s="50"/>
      <c r="E1032" s="89" t="s">
        <v>726</v>
      </c>
      <c r="F1032" s="124">
        <v>26.22</v>
      </c>
      <c r="G1032" s="125" t="s">
        <v>228</v>
      </c>
      <c r="H1032" s="33">
        <v>0.1</v>
      </c>
      <c r="I1032" s="82">
        <f t="shared" si="893"/>
        <v>28.841999999999999</v>
      </c>
      <c r="J1032" s="34">
        <v>1.51</v>
      </c>
      <c r="K1032" s="35">
        <f t="shared" si="894"/>
        <v>43.55142</v>
      </c>
      <c r="L1032" s="36">
        <f t="shared" si="895"/>
        <v>73.03</v>
      </c>
      <c r="M1032" s="37">
        <v>3.5999999999999997E-2</v>
      </c>
      <c r="N1032" s="37">
        <f t="shared" si="896"/>
        <v>1.0383119999999999</v>
      </c>
      <c r="O1032" s="35">
        <f t="shared" si="897"/>
        <v>75.827925359999995</v>
      </c>
      <c r="P1032" s="38">
        <f t="shared" si="898"/>
        <v>119.37934536</v>
      </c>
      <c r="Q1032" s="2"/>
    </row>
    <row r="1033" spans="1:17" ht="30" x14ac:dyDescent="0.25">
      <c r="A1033" s="122" t="str">
        <f>IF(TRIM(G1033)&lt;&gt;"",COUNTA(G$9:$G1033)&amp;"","")</f>
        <v>823</v>
      </c>
      <c r="B1033" s="123" t="s">
        <v>474</v>
      </c>
      <c r="C1033" s="123" t="s">
        <v>474</v>
      </c>
      <c r="D1033" s="50"/>
      <c r="E1033" s="89" t="s">
        <v>727</v>
      </c>
      <c r="F1033" s="124">
        <f>18*12</f>
        <v>216</v>
      </c>
      <c r="G1033" s="125" t="s">
        <v>228</v>
      </c>
      <c r="H1033" s="33">
        <v>0.1</v>
      </c>
      <c r="I1033" s="82">
        <f t="shared" si="893"/>
        <v>237.6</v>
      </c>
      <c r="J1033" s="34">
        <v>11.55</v>
      </c>
      <c r="K1033" s="35">
        <f t="shared" si="894"/>
        <v>2744.28</v>
      </c>
      <c r="L1033" s="36">
        <f t="shared" si="895"/>
        <v>73.03</v>
      </c>
      <c r="M1033" s="37">
        <v>2.9000000000000001E-2</v>
      </c>
      <c r="N1033" s="37">
        <f t="shared" si="896"/>
        <v>6.8904000000000005</v>
      </c>
      <c r="O1033" s="35">
        <f t="shared" si="897"/>
        <v>503.20591200000007</v>
      </c>
      <c r="P1033" s="38">
        <f t="shared" si="898"/>
        <v>3247.4859120000001</v>
      </c>
      <c r="Q1033" s="2"/>
    </row>
    <row r="1034" spans="1:17" x14ac:dyDescent="0.25">
      <c r="A1034" s="122" t="str">
        <f>IF(TRIM(G1034)&lt;&gt;"",COUNTA(G$9:$G1034)&amp;"","")</f>
        <v>824</v>
      </c>
      <c r="B1034" s="123" t="s">
        <v>474</v>
      </c>
      <c r="C1034" s="123" t="s">
        <v>474</v>
      </c>
      <c r="D1034" s="50"/>
      <c r="E1034" s="89" t="s">
        <v>369</v>
      </c>
      <c r="F1034" s="124">
        <f>163*1.023</f>
        <v>166.749</v>
      </c>
      <c r="G1034" s="125" t="s">
        <v>214</v>
      </c>
      <c r="H1034" s="33">
        <v>0.1</v>
      </c>
      <c r="I1034" s="82">
        <f t="shared" si="837"/>
        <v>183.4239</v>
      </c>
      <c r="J1034" s="34">
        <v>1.1100000000000001</v>
      </c>
      <c r="K1034" s="35">
        <f t="shared" si="838"/>
        <v>203.60052900000002</v>
      </c>
      <c r="L1034" s="36">
        <f>IF(F1034=0,"",L$963)</f>
        <v>73.03</v>
      </c>
      <c r="M1034" s="37">
        <v>1.2E-2</v>
      </c>
      <c r="N1034" s="37">
        <f t="shared" si="839"/>
        <v>2.2010868000000001</v>
      </c>
      <c r="O1034" s="35">
        <f t="shared" si="840"/>
        <v>160.74536900400003</v>
      </c>
      <c r="P1034" s="38">
        <f t="shared" si="841"/>
        <v>364.34589800400005</v>
      </c>
      <c r="Q1034" s="2"/>
    </row>
    <row r="1035" spans="1:17" x14ac:dyDescent="0.25">
      <c r="A1035" s="122" t="str">
        <f>IF(TRIM(G1035)&lt;&gt;"",COUNTA(G$9:$G1035)&amp;"","")</f>
        <v>825</v>
      </c>
      <c r="B1035" s="123" t="s">
        <v>474</v>
      </c>
      <c r="C1035" s="123" t="s">
        <v>474</v>
      </c>
      <c r="D1035" s="50"/>
      <c r="E1035" s="89" t="s">
        <v>370</v>
      </c>
      <c r="F1035" s="124">
        <v>46.96</v>
      </c>
      <c r="G1035" s="125" t="s">
        <v>228</v>
      </c>
      <c r="H1035" s="33">
        <v>0.1</v>
      </c>
      <c r="I1035" s="82">
        <f t="shared" si="837"/>
        <v>51.655999999999999</v>
      </c>
      <c r="J1035" s="34">
        <v>14.46</v>
      </c>
      <c r="K1035" s="35">
        <f t="shared" si="838"/>
        <v>746.94576000000006</v>
      </c>
      <c r="L1035" s="36">
        <f>IF(F1035=0,"",L$963)</f>
        <v>73.03</v>
      </c>
      <c r="M1035" s="37">
        <v>0.08</v>
      </c>
      <c r="N1035" s="37">
        <f t="shared" si="839"/>
        <v>4.1324800000000002</v>
      </c>
      <c r="O1035" s="35">
        <f t="shared" si="840"/>
        <v>301.79501440000001</v>
      </c>
      <c r="P1035" s="38">
        <f t="shared" si="841"/>
        <v>1048.7407744000002</v>
      </c>
      <c r="Q1035" s="2"/>
    </row>
    <row r="1036" spans="1:17" x14ac:dyDescent="0.25">
      <c r="A1036" s="122" t="str">
        <f>IF(TRIM(G1036)&lt;&gt;"",COUNTA(G$9:$G1036)&amp;"","")</f>
        <v>826</v>
      </c>
      <c r="B1036" s="123" t="s">
        <v>474</v>
      </c>
      <c r="C1036" s="123" t="s">
        <v>474</v>
      </c>
      <c r="D1036" s="50"/>
      <c r="E1036" s="89" t="s">
        <v>371</v>
      </c>
      <c r="F1036" s="124">
        <v>2</v>
      </c>
      <c r="G1036" s="125" t="s">
        <v>250</v>
      </c>
      <c r="H1036" s="33">
        <f t="shared" ref="H1036" si="905">IF(F1036=0,"",0)</f>
        <v>0</v>
      </c>
      <c r="I1036" s="82">
        <f t="shared" ref="I1036:I1039" si="906">IF(F1036=0,"",F1036+(F1036*H1036))</f>
        <v>2</v>
      </c>
      <c r="J1036" s="34">
        <f>14.46*10</f>
        <v>144.60000000000002</v>
      </c>
      <c r="K1036" s="35">
        <f t="shared" ref="K1036:K1039" si="907">IF(F1036=0,"",J1036*I1036)</f>
        <v>289.20000000000005</v>
      </c>
      <c r="L1036" s="36">
        <f t="shared" ref="L1036:L1039" si="908">IF(F1036=0,"",L$963)</f>
        <v>73.03</v>
      </c>
      <c r="M1036" s="37">
        <f>0.107*10</f>
        <v>1.07</v>
      </c>
      <c r="N1036" s="37">
        <f t="shared" ref="N1036:N1039" si="909">IF(F1036=0,"",M1036*I1036)</f>
        <v>2.14</v>
      </c>
      <c r="O1036" s="35">
        <f t="shared" ref="O1036:O1039" si="910">IF(F1036=0,"",N1036*L1036)</f>
        <v>156.2842</v>
      </c>
      <c r="P1036" s="38">
        <f t="shared" ref="P1036:P1039" si="911">IF(F1036=0,"",K1036+O1036)</f>
        <v>445.48420000000004</v>
      </c>
      <c r="Q1036" s="2"/>
    </row>
    <row r="1037" spans="1:17" x14ac:dyDescent="0.25">
      <c r="A1037" s="122" t="str">
        <f>IF(TRIM(G1037)&lt;&gt;"",COUNTA(G$9:$G1037)&amp;"","")</f>
        <v/>
      </c>
      <c r="B1037" s="123"/>
      <c r="C1037" s="123"/>
      <c r="D1037" s="50"/>
      <c r="E1037" s="196" t="s">
        <v>252</v>
      </c>
      <c r="F1037" s="124"/>
      <c r="G1037" s="125"/>
      <c r="H1037" s="33"/>
      <c r="I1037" s="82"/>
      <c r="J1037" s="34"/>
      <c r="K1037" s="35"/>
      <c r="L1037" s="36"/>
      <c r="M1037" s="37"/>
      <c r="N1037" s="37"/>
      <c r="O1037" s="35"/>
      <c r="P1037" s="38"/>
      <c r="Q1037" s="2"/>
    </row>
    <row r="1038" spans="1:17" x14ac:dyDescent="0.25">
      <c r="A1038" s="122" t="str">
        <f>IF(TRIM(G1038)&lt;&gt;"",COUNTA(G$9:$G1038)&amp;"","")</f>
        <v>827</v>
      </c>
      <c r="B1038" s="123" t="s">
        <v>474</v>
      </c>
      <c r="C1038" s="123" t="s">
        <v>474</v>
      </c>
      <c r="D1038" s="50"/>
      <c r="E1038" s="89" t="s">
        <v>372</v>
      </c>
      <c r="F1038" s="124">
        <v>30.78</v>
      </c>
      <c r="G1038" s="125" t="s">
        <v>214</v>
      </c>
      <c r="H1038" s="33">
        <v>0.1</v>
      </c>
      <c r="I1038" s="82">
        <f t="shared" si="906"/>
        <v>33.858000000000004</v>
      </c>
      <c r="J1038" s="34">
        <v>7.4</v>
      </c>
      <c r="K1038" s="35">
        <f t="shared" si="907"/>
        <v>250.54920000000004</v>
      </c>
      <c r="L1038" s="36">
        <f t="shared" si="908"/>
        <v>73.03</v>
      </c>
      <c r="M1038" s="37">
        <v>2.4E-2</v>
      </c>
      <c r="N1038" s="37">
        <f t="shared" si="909"/>
        <v>0.81259200000000009</v>
      </c>
      <c r="O1038" s="35">
        <f t="shared" si="910"/>
        <v>59.343593760000005</v>
      </c>
      <c r="P1038" s="38">
        <f t="shared" si="911"/>
        <v>309.89279376000002</v>
      </c>
      <c r="Q1038" s="2"/>
    </row>
    <row r="1039" spans="1:17" x14ac:dyDescent="0.25">
      <c r="A1039" s="122" t="str">
        <f>IF(TRIM(G1039)&lt;&gt;"",COUNTA(G$9:$G1039)&amp;"","")</f>
        <v>828</v>
      </c>
      <c r="B1039" s="123" t="s">
        <v>474</v>
      </c>
      <c r="C1039" s="123" t="s">
        <v>474</v>
      </c>
      <c r="D1039" s="50"/>
      <c r="E1039" s="89" t="s">
        <v>373</v>
      </c>
      <c r="F1039" s="124">
        <v>64.900000000000006</v>
      </c>
      <c r="G1039" s="125" t="s">
        <v>228</v>
      </c>
      <c r="H1039" s="33">
        <v>0.1</v>
      </c>
      <c r="I1039" s="82">
        <f t="shared" si="906"/>
        <v>71.39</v>
      </c>
      <c r="J1039" s="34">
        <v>0.38</v>
      </c>
      <c r="K1039" s="35">
        <f t="shared" si="907"/>
        <v>27.1282</v>
      </c>
      <c r="L1039" s="36">
        <f t="shared" si="908"/>
        <v>73.03</v>
      </c>
      <c r="M1039" s="37">
        <v>2.9000000000000001E-2</v>
      </c>
      <c r="N1039" s="37">
        <f t="shared" si="909"/>
        <v>2.0703100000000001</v>
      </c>
      <c r="O1039" s="35">
        <f t="shared" si="910"/>
        <v>151.19473930000001</v>
      </c>
      <c r="P1039" s="38">
        <f t="shared" si="911"/>
        <v>178.3229393</v>
      </c>
      <c r="Q1039" s="2"/>
    </row>
    <row r="1040" spans="1:17" s="28" customFormat="1" ht="19.149999999999999" customHeight="1" x14ac:dyDescent="0.25">
      <c r="A1040" s="122" t="str">
        <f>IF(TRIM(G1040)&lt;&gt;"",COUNTA(G$9:$G1040)&amp;"","")</f>
        <v/>
      </c>
      <c r="B1040" s="49"/>
      <c r="C1040" s="49"/>
      <c r="D1040" s="50" t="s">
        <v>162</v>
      </c>
      <c r="E1040" s="156" t="s">
        <v>161</v>
      </c>
      <c r="F1040" s="124"/>
      <c r="G1040" s="125"/>
      <c r="H1040" s="33" t="str">
        <f t="shared" si="842"/>
        <v/>
      </c>
      <c r="I1040" s="82" t="str">
        <f t="shared" si="837"/>
        <v/>
      </c>
      <c r="J1040" s="34" t="str">
        <f t="shared" si="843"/>
        <v/>
      </c>
      <c r="K1040" s="35" t="str">
        <f t="shared" si="838"/>
        <v/>
      </c>
      <c r="L1040" s="36" t="str">
        <f t="shared" ref="L1040:L1047" si="912">IF(F1040=0,"",L$963)</f>
        <v/>
      </c>
      <c r="M1040" s="37" t="str">
        <f t="shared" si="844"/>
        <v/>
      </c>
      <c r="N1040" s="37" t="str">
        <f t="shared" si="839"/>
        <v/>
      </c>
      <c r="O1040" s="35" t="str">
        <f t="shared" si="840"/>
        <v/>
      </c>
      <c r="P1040" s="38" t="str">
        <f t="shared" si="841"/>
        <v/>
      </c>
      <c r="Q1040" s="39"/>
    </row>
    <row r="1041" spans="1:17" x14ac:dyDescent="0.25">
      <c r="A1041" s="122" t="str">
        <f>IF(TRIM(G1041)&lt;&gt;"",COUNTA(G$9:$G1041)&amp;"","")</f>
        <v>829</v>
      </c>
      <c r="B1041" s="123" t="s">
        <v>256</v>
      </c>
      <c r="C1041" s="123" t="s">
        <v>256</v>
      </c>
      <c r="D1041" s="50"/>
      <c r="E1041" s="89" t="s">
        <v>343</v>
      </c>
      <c r="F1041" s="124">
        <v>1</v>
      </c>
      <c r="G1041" s="125" t="s">
        <v>293</v>
      </c>
      <c r="H1041" s="33">
        <f t="shared" si="842"/>
        <v>0</v>
      </c>
      <c r="I1041" s="82">
        <f t="shared" si="837"/>
        <v>1</v>
      </c>
      <c r="J1041" s="221">
        <f t="shared" si="843"/>
        <v>0</v>
      </c>
      <c r="K1041" s="35">
        <f t="shared" si="838"/>
        <v>0</v>
      </c>
      <c r="L1041" s="36">
        <f t="shared" si="912"/>
        <v>73.03</v>
      </c>
      <c r="M1041" s="373">
        <f t="shared" si="844"/>
        <v>0</v>
      </c>
      <c r="N1041" s="37">
        <f t="shared" si="839"/>
        <v>0</v>
      </c>
      <c r="O1041" s="35">
        <f t="shared" si="840"/>
        <v>0</v>
      </c>
      <c r="P1041" s="38">
        <f t="shared" si="841"/>
        <v>0</v>
      </c>
      <c r="Q1041" s="2"/>
    </row>
    <row r="1042" spans="1:17" s="28" customFormat="1" ht="19.149999999999999" customHeight="1" x14ac:dyDescent="0.25">
      <c r="A1042" s="122" t="str">
        <f>IF(TRIM(G1042)&lt;&gt;"",COUNTA(G$9:$G1042)&amp;"","")</f>
        <v/>
      </c>
      <c r="B1042" s="49"/>
      <c r="C1042" s="49"/>
      <c r="D1042" s="50" t="s">
        <v>164</v>
      </c>
      <c r="E1042" s="156" t="s">
        <v>163</v>
      </c>
      <c r="F1042" s="124"/>
      <c r="G1042" s="125"/>
      <c r="H1042" s="33" t="str">
        <f t="shared" si="842"/>
        <v/>
      </c>
      <c r="I1042" s="82" t="str">
        <f t="shared" si="837"/>
        <v/>
      </c>
      <c r="J1042" s="34" t="str">
        <f t="shared" si="843"/>
        <v/>
      </c>
      <c r="K1042" s="35" t="str">
        <f t="shared" si="838"/>
        <v/>
      </c>
      <c r="L1042" s="36" t="str">
        <f t="shared" si="912"/>
        <v/>
      </c>
      <c r="M1042" s="37" t="str">
        <f t="shared" si="844"/>
        <v/>
      </c>
      <c r="N1042" s="37" t="str">
        <f t="shared" si="839"/>
        <v/>
      </c>
      <c r="O1042" s="35" t="str">
        <f t="shared" si="840"/>
        <v/>
      </c>
      <c r="P1042" s="38" t="str">
        <f t="shared" si="841"/>
        <v/>
      </c>
      <c r="Q1042" s="39"/>
    </row>
    <row r="1043" spans="1:17" x14ac:dyDescent="0.25">
      <c r="A1043" s="122" t="str">
        <f>IF(TRIM(G1043)&lt;&gt;"",COUNTA(G$9:$G1043)&amp;"","")</f>
        <v>830</v>
      </c>
      <c r="B1043" s="123" t="s">
        <v>256</v>
      </c>
      <c r="C1043" s="123" t="s">
        <v>256</v>
      </c>
      <c r="D1043" s="50"/>
      <c r="E1043" s="89" t="s">
        <v>345</v>
      </c>
      <c r="F1043" s="124">
        <f>F1046+F1047</f>
        <v>23729.25</v>
      </c>
      <c r="G1043" s="125" t="s">
        <v>214</v>
      </c>
      <c r="H1043" s="33">
        <v>0.1</v>
      </c>
      <c r="I1043" s="82">
        <f t="shared" si="837"/>
        <v>26102.174999999999</v>
      </c>
      <c r="J1043" s="34">
        <v>0.01</v>
      </c>
      <c r="K1043" s="35">
        <f t="shared" si="838"/>
        <v>261.02175</v>
      </c>
      <c r="L1043" s="36">
        <f t="shared" si="912"/>
        <v>73.03</v>
      </c>
      <c r="M1043" s="216">
        <v>1E-3</v>
      </c>
      <c r="N1043" s="37">
        <f t="shared" si="839"/>
        <v>26.102174999999999</v>
      </c>
      <c r="O1043" s="35">
        <f t="shared" si="840"/>
        <v>1906.24184025</v>
      </c>
      <c r="P1043" s="38">
        <f t="shared" si="841"/>
        <v>2167.2635902500001</v>
      </c>
      <c r="Q1043" s="2"/>
    </row>
    <row r="1044" spans="1:17" x14ac:dyDescent="0.25">
      <c r="A1044" s="122" t="str">
        <f>IF(TRIM(G1044)&lt;&gt;"",COUNTA(G$9:$G1044)&amp;"","")</f>
        <v>831</v>
      </c>
      <c r="B1044" s="123" t="s">
        <v>256</v>
      </c>
      <c r="C1044" s="123" t="s">
        <v>256</v>
      </c>
      <c r="D1044" s="50"/>
      <c r="E1044" s="89" t="s">
        <v>346</v>
      </c>
      <c r="F1044" s="124">
        <f>F1043</f>
        <v>23729.25</v>
      </c>
      <c r="G1044" s="125" t="s">
        <v>214</v>
      </c>
      <c r="H1044" s="33">
        <v>0.1</v>
      </c>
      <c r="I1044" s="82">
        <f t="shared" si="837"/>
        <v>26102.174999999999</v>
      </c>
      <c r="J1044" s="34">
        <v>0.01</v>
      </c>
      <c r="K1044" s="35">
        <f t="shared" si="838"/>
        <v>261.02175</v>
      </c>
      <c r="L1044" s="36">
        <f t="shared" si="912"/>
        <v>73.03</v>
      </c>
      <c r="M1044" s="216">
        <v>1E-3</v>
      </c>
      <c r="N1044" s="37">
        <f t="shared" si="839"/>
        <v>26.102174999999999</v>
      </c>
      <c r="O1044" s="35">
        <f t="shared" si="840"/>
        <v>1906.24184025</v>
      </c>
      <c r="P1044" s="38">
        <f t="shared" si="841"/>
        <v>2167.2635902500001</v>
      </c>
      <c r="Q1044" s="2"/>
    </row>
    <row r="1045" spans="1:17" s="28" customFormat="1" ht="19.149999999999999" customHeight="1" x14ac:dyDescent="0.25">
      <c r="A1045" s="122" t="str">
        <f>IF(TRIM(G1045)&lt;&gt;"",COUNTA(G$9:$G1045)&amp;"","")</f>
        <v/>
      </c>
      <c r="B1045" s="49"/>
      <c r="C1045" s="49"/>
      <c r="D1045" s="50" t="s">
        <v>166</v>
      </c>
      <c r="E1045" s="156" t="s">
        <v>165</v>
      </c>
      <c r="F1045" s="124"/>
      <c r="G1045" s="125"/>
      <c r="H1045" s="33" t="str">
        <f t="shared" si="842"/>
        <v/>
      </c>
      <c r="I1045" s="82" t="str">
        <f t="shared" si="837"/>
        <v/>
      </c>
      <c r="J1045" s="34" t="str">
        <f t="shared" si="843"/>
        <v/>
      </c>
      <c r="K1045" s="35" t="str">
        <f t="shared" si="838"/>
        <v/>
      </c>
      <c r="L1045" s="36" t="str">
        <f t="shared" si="912"/>
        <v/>
      </c>
      <c r="M1045" s="37" t="str">
        <f t="shared" si="844"/>
        <v/>
      </c>
      <c r="N1045" s="37" t="str">
        <f t="shared" si="839"/>
        <v/>
      </c>
      <c r="O1045" s="35" t="str">
        <f t="shared" si="840"/>
        <v/>
      </c>
      <c r="P1045" s="38" t="str">
        <f t="shared" si="841"/>
        <v/>
      </c>
      <c r="Q1045" s="39"/>
    </row>
    <row r="1046" spans="1:17" x14ac:dyDescent="0.25">
      <c r="A1046" s="122" t="str">
        <f>IF(TRIM(G1046)&lt;&gt;"",COUNTA(G$9:$G1046)&amp;"","")</f>
        <v>832</v>
      </c>
      <c r="B1046" s="123" t="s">
        <v>473</v>
      </c>
      <c r="C1046" s="123" t="s">
        <v>472</v>
      </c>
      <c r="D1046" s="50"/>
      <c r="E1046" s="89" t="s">
        <v>344</v>
      </c>
      <c r="F1046" s="124">
        <v>22598.22</v>
      </c>
      <c r="G1046" s="125" t="s">
        <v>214</v>
      </c>
      <c r="H1046" s="33">
        <v>0.1</v>
      </c>
      <c r="I1046" s="82">
        <f t="shared" si="837"/>
        <v>24858.042000000001</v>
      </c>
      <c r="J1046" s="34">
        <v>0.01</v>
      </c>
      <c r="K1046" s="35">
        <f t="shared" si="838"/>
        <v>248.58042000000003</v>
      </c>
      <c r="L1046" s="36">
        <f t="shared" si="912"/>
        <v>73.03</v>
      </c>
      <c r="M1046" s="216">
        <v>1E-3</v>
      </c>
      <c r="N1046" s="37">
        <f t="shared" si="839"/>
        <v>24.858042000000001</v>
      </c>
      <c r="O1046" s="35">
        <f t="shared" si="840"/>
        <v>1815.3828072600002</v>
      </c>
      <c r="P1046" s="38">
        <f t="shared" si="841"/>
        <v>2063.9632272600002</v>
      </c>
      <c r="Q1046" s="2"/>
    </row>
    <row r="1047" spans="1:17" x14ac:dyDescent="0.25">
      <c r="A1047" s="122" t="str">
        <f>IF(TRIM(G1047)&lt;&gt;"",COUNTA(G$9:$G1047)&amp;"","")</f>
        <v>833</v>
      </c>
      <c r="B1047" s="123" t="s">
        <v>473</v>
      </c>
      <c r="C1047" s="123" t="s">
        <v>472</v>
      </c>
      <c r="D1047" s="50"/>
      <c r="E1047" s="89" t="s">
        <v>280</v>
      </c>
      <c r="F1047" s="124">
        <v>1131.03</v>
      </c>
      <c r="G1047" s="125" t="s">
        <v>214</v>
      </c>
      <c r="H1047" s="33">
        <v>0.1</v>
      </c>
      <c r="I1047" s="82">
        <f t="shared" ref="I1047:I1071" si="913">IF(F1047=0,"",F1047+(F1047*H1047))</f>
        <v>1244.133</v>
      </c>
      <c r="J1047" s="34">
        <f>3.94/9</f>
        <v>0.43777777777777777</v>
      </c>
      <c r="K1047" s="35">
        <f t="shared" ref="K1047:K1071" si="914">IF(F1047=0,"",J1047*I1047)</f>
        <v>544.65377999999998</v>
      </c>
      <c r="L1047" s="36">
        <f t="shared" si="912"/>
        <v>73.03</v>
      </c>
      <c r="M1047" s="37">
        <f>0.08/9</f>
        <v>8.8888888888888889E-3</v>
      </c>
      <c r="N1047" s="37">
        <f t="shared" ref="N1047:N1071" si="915">IF(F1047=0,"",M1047*I1047)</f>
        <v>11.058960000000001</v>
      </c>
      <c r="O1047" s="35">
        <f t="shared" ref="O1047:O1071" si="916">IF(F1047=0,"",N1047*L1047)</f>
        <v>807.63584880000008</v>
      </c>
      <c r="P1047" s="38">
        <f t="shared" ref="P1047:P1071" si="917">IF(F1047=0,"",K1047+O1047)</f>
        <v>1352.2896288000002</v>
      </c>
      <c r="Q1047" s="2"/>
    </row>
    <row r="1048" spans="1:17" s="28" customFormat="1" ht="19.149999999999999" customHeight="1" x14ac:dyDescent="0.25">
      <c r="A1048" s="122" t="str">
        <f>IF(TRIM(G1048)&lt;&gt;"",COUNTA(G$9:$G1048)&amp;"","")</f>
        <v/>
      </c>
      <c r="B1048" s="49"/>
      <c r="C1048" s="49"/>
      <c r="D1048" s="50" t="s">
        <v>168</v>
      </c>
      <c r="E1048" s="156" t="s">
        <v>167</v>
      </c>
      <c r="F1048" s="124"/>
      <c r="G1048" s="125"/>
      <c r="H1048" s="33" t="str">
        <f t="shared" ref="H1048:H1071" si="918">IF(F1048=0,"",0)</f>
        <v/>
      </c>
      <c r="I1048" s="82" t="str">
        <f t="shared" si="913"/>
        <v/>
      </c>
      <c r="J1048" s="34" t="str">
        <f t="shared" ref="J1048:J1071" si="919">IF(F1048=0,"",0)</f>
        <v/>
      </c>
      <c r="K1048" s="35" t="str">
        <f t="shared" si="914"/>
        <v/>
      </c>
      <c r="L1048" s="36" t="str">
        <f t="shared" ref="L1048:L1071" si="920">IF(F1048=0,"",L$963)</f>
        <v/>
      </c>
      <c r="M1048" s="37" t="str">
        <f t="shared" ref="M1048:M1071" si="921">IF(F1048=0,"",0)</f>
        <v/>
      </c>
      <c r="N1048" s="37" t="str">
        <f t="shared" si="915"/>
        <v/>
      </c>
      <c r="O1048" s="35" t="str">
        <f t="shared" si="916"/>
        <v/>
      </c>
      <c r="P1048" s="38" t="str">
        <f t="shared" si="917"/>
        <v/>
      </c>
      <c r="Q1048" s="39"/>
    </row>
    <row r="1049" spans="1:17" x14ac:dyDescent="0.25">
      <c r="A1049" s="122" t="str">
        <f>IF(TRIM(G1049)&lt;&gt;"",COUNTA(G$9:$G1049)&amp;"","")</f>
        <v>834</v>
      </c>
      <c r="B1049" s="123" t="s">
        <v>473</v>
      </c>
      <c r="C1049" s="123" t="s">
        <v>472</v>
      </c>
      <c r="D1049" s="50"/>
      <c r="E1049" s="89" t="s">
        <v>347</v>
      </c>
      <c r="F1049" s="124">
        <v>1</v>
      </c>
      <c r="G1049" s="125" t="s">
        <v>250</v>
      </c>
      <c r="H1049" s="33">
        <f t="shared" si="918"/>
        <v>0</v>
      </c>
      <c r="I1049" s="82">
        <f t="shared" si="913"/>
        <v>1</v>
      </c>
      <c r="J1049" s="221">
        <f t="shared" si="919"/>
        <v>0</v>
      </c>
      <c r="K1049" s="35">
        <f t="shared" si="914"/>
        <v>0</v>
      </c>
      <c r="L1049" s="36">
        <f t="shared" si="920"/>
        <v>73.03</v>
      </c>
      <c r="M1049" s="37">
        <v>2</v>
      </c>
      <c r="N1049" s="37">
        <f t="shared" si="915"/>
        <v>2</v>
      </c>
      <c r="O1049" s="35">
        <f t="shared" si="916"/>
        <v>146.06</v>
      </c>
      <c r="P1049" s="38">
        <f t="shared" si="917"/>
        <v>146.06</v>
      </c>
      <c r="Q1049" s="2"/>
    </row>
    <row r="1050" spans="1:17" x14ac:dyDescent="0.25">
      <c r="A1050" s="122" t="str">
        <f>IF(TRIM(G1050)&lt;&gt;"",COUNTA(G$9:$G1050)&amp;"","")</f>
        <v>835</v>
      </c>
      <c r="B1050" s="123" t="s">
        <v>473</v>
      </c>
      <c r="C1050" s="123" t="s">
        <v>472</v>
      </c>
      <c r="D1050" s="50"/>
      <c r="E1050" s="89" t="s">
        <v>348</v>
      </c>
      <c r="F1050" s="124">
        <v>2</v>
      </c>
      <c r="G1050" s="125" t="s">
        <v>250</v>
      </c>
      <c r="H1050" s="33">
        <f t="shared" si="918"/>
        <v>0</v>
      </c>
      <c r="I1050" s="82">
        <f t="shared" si="913"/>
        <v>2</v>
      </c>
      <c r="J1050" s="221">
        <f t="shared" si="919"/>
        <v>0</v>
      </c>
      <c r="K1050" s="35">
        <f t="shared" si="914"/>
        <v>0</v>
      </c>
      <c r="L1050" s="36">
        <f t="shared" si="920"/>
        <v>73.03</v>
      </c>
      <c r="M1050" s="37">
        <v>2</v>
      </c>
      <c r="N1050" s="37">
        <f t="shared" si="915"/>
        <v>4</v>
      </c>
      <c r="O1050" s="35">
        <f t="shared" si="916"/>
        <v>292.12</v>
      </c>
      <c r="P1050" s="38">
        <f t="shared" si="917"/>
        <v>292.12</v>
      </c>
      <c r="Q1050" s="2"/>
    </row>
    <row r="1051" spans="1:17" x14ac:dyDescent="0.25">
      <c r="A1051" s="122" t="str">
        <f>IF(TRIM(G1051)&lt;&gt;"",COUNTA(G$9:$G1051)&amp;"","")</f>
        <v>836</v>
      </c>
      <c r="B1051" s="123" t="s">
        <v>473</v>
      </c>
      <c r="C1051" s="123" t="s">
        <v>472</v>
      </c>
      <c r="D1051" s="50"/>
      <c r="E1051" s="89" t="s">
        <v>349</v>
      </c>
      <c r="F1051" s="124">
        <v>18</v>
      </c>
      <c r="G1051" s="125" t="s">
        <v>250</v>
      </c>
      <c r="H1051" s="33">
        <f t="shared" si="918"/>
        <v>0</v>
      </c>
      <c r="I1051" s="82">
        <f t="shared" si="913"/>
        <v>18</v>
      </c>
      <c r="J1051" s="221">
        <f t="shared" si="919"/>
        <v>0</v>
      </c>
      <c r="K1051" s="35">
        <f t="shared" si="914"/>
        <v>0</v>
      </c>
      <c r="L1051" s="36">
        <f t="shared" si="920"/>
        <v>73.03</v>
      </c>
      <c r="M1051" s="37">
        <v>2</v>
      </c>
      <c r="N1051" s="37">
        <f t="shared" si="915"/>
        <v>36</v>
      </c>
      <c r="O1051" s="35">
        <f t="shared" si="916"/>
        <v>2629.08</v>
      </c>
      <c r="P1051" s="38">
        <f t="shared" si="917"/>
        <v>2629.08</v>
      </c>
      <c r="Q1051" s="2"/>
    </row>
    <row r="1052" spans="1:17" x14ac:dyDescent="0.25">
      <c r="A1052" s="122" t="str">
        <f>IF(TRIM(G1052)&lt;&gt;"",COUNTA(G$9:$G1052)&amp;"","")</f>
        <v>837</v>
      </c>
      <c r="B1052" s="123" t="s">
        <v>473</v>
      </c>
      <c r="C1052" s="123" t="s">
        <v>472</v>
      </c>
      <c r="D1052" s="50"/>
      <c r="E1052" s="89" t="s">
        <v>350</v>
      </c>
      <c r="F1052" s="124">
        <v>20</v>
      </c>
      <c r="G1052" s="125" t="s">
        <v>250</v>
      </c>
      <c r="H1052" s="33">
        <f t="shared" ref="H1052:H1058" si="922">IF(F1052=0,"",0)</f>
        <v>0</v>
      </c>
      <c r="I1052" s="82">
        <f t="shared" ref="I1052:I1058" si="923">IF(F1052=0,"",F1052+(F1052*H1052))</f>
        <v>20</v>
      </c>
      <c r="J1052" s="221">
        <f t="shared" ref="J1052:J1058" si="924">IF(F1052=0,"",0)</f>
        <v>0</v>
      </c>
      <c r="K1052" s="35">
        <f t="shared" ref="K1052:K1058" si="925">IF(F1052=0,"",J1052*I1052)</f>
        <v>0</v>
      </c>
      <c r="L1052" s="36">
        <f t="shared" ref="L1052:L1058" si="926">IF(F1052=0,"",L$963)</f>
        <v>73.03</v>
      </c>
      <c r="M1052" s="37">
        <v>2</v>
      </c>
      <c r="N1052" s="37">
        <f t="shared" ref="N1052:N1058" si="927">IF(F1052=0,"",M1052*I1052)</f>
        <v>40</v>
      </c>
      <c r="O1052" s="35">
        <f t="shared" ref="O1052:O1058" si="928">IF(F1052=0,"",N1052*L1052)</f>
        <v>2921.2</v>
      </c>
      <c r="P1052" s="38">
        <f t="shared" ref="P1052:P1058" si="929">IF(F1052=0,"",K1052+O1052)</f>
        <v>2921.2</v>
      </c>
      <c r="Q1052" s="2"/>
    </row>
    <row r="1053" spans="1:17" x14ac:dyDescent="0.25">
      <c r="A1053" s="122" t="str">
        <f>IF(TRIM(G1053)&lt;&gt;"",COUNTA(G$9:$G1053)&amp;"","")</f>
        <v>838</v>
      </c>
      <c r="B1053" s="123" t="s">
        <v>473</v>
      </c>
      <c r="C1053" s="123" t="s">
        <v>472</v>
      </c>
      <c r="D1053" s="50"/>
      <c r="E1053" s="89" t="s">
        <v>351</v>
      </c>
      <c r="F1053" s="124">
        <v>21</v>
      </c>
      <c r="G1053" s="125" t="s">
        <v>250</v>
      </c>
      <c r="H1053" s="33">
        <f t="shared" si="922"/>
        <v>0</v>
      </c>
      <c r="I1053" s="82">
        <f t="shared" si="923"/>
        <v>21</v>
      </c>
      <c r="J1053" s="221">
        <f t="shared" si="924"/>
        <v>0</v>
      </c>
      <c r="K1053" s="35">
        <f t="shared" si="925"/>
        <v>0</v>
      </c>
      <c r="L1053" s="36">
        <f t="shared" si="926"/>
        <v>73.03</v>
      </c>
      <c r="M1053" s="37">
        <v>2</v>
      </c>
      <c r="N1053" s="37">
        <f t="shared" si="927"/>
        <v>42</v>
      </c>
      <c r="O1053" s="35">
        <f t="shared" si="928"/>
        <v>3067.26</v>
      </c>
      <c r="P1053" s="38">
        <f t="shared" si="929"/>
        <v>3067.26</v>
      </c>
      <c r="Q1053" s="2"/>
    </row>
    <row r="1054" spans="1:17" x14ac:dyDescent="0.25">
      <c r="A1054" s="122" t="str">
        <f>IF(TRIM(G1054)&lt;&gt;"",COUNTA(G$9:$G1054)&amp;"","")</f>
        <v>839</v>
      </c>
      <c r="B1054" s="123" t="s">
        <v>473</v>
      </c>
      <c r="C1054" s="123" t="s">
        <v>472</v>
      </c>
      <c r="D1054" s="50"/>
      <c r="E1054" s="89" t="s">
        <v>728</v>
      </c>
      <c r="F1054" s="124">
        <v>24</v>
      </c>
      <c r="G1054" s="125" t="s">
        <v>250</v>
      </c>
      <c r="H1054" s="33">
        <f t="shared" ref="H1054:H1057" si="930">IF(F1054=0,"",0)</f>
        <v>0</v>
      </c>
      <c r="I1054" s="82">
        <f t="shared" ref="I1054:I1057" si="931">IF(F1054=0,"",F1054+(F1054*H1054))</f>
        <v>24</v>
      </c>
      <c r="J1054" s="221">
        <f t="shared" ref="J1054:J1057" si="932">IF(F1054=0,"",0)</f>
        <v>0</v>
      </c>
      <c r="K1054" s="35">
        <f t="shared" ref="K1054:K1057" si="933">IF(F1054=0,"",J1054*I1054)</f>
        <v>0</v>
      </c>
      <c r="L1054" s="36">
        <f t="shared" ref="L1054:L1057" si="934">IF(F1054=0,"",L$963)</f>
        <v>73.03</v>
      </c>
      <c r="M1054" s="37">
        <v>2</v>
      </c>
      <c r="N1054" s="37">
        <f t="shared" ref="N1054:N1057" si="935">IF(F1054=0,"",M1054*I1054)</f>
        <v>48</v>
      </c>
      <c r="O1054" s="35">
        <f t="shared" ref="O1054:O1057" si="936">IF(F1054=0,"",N1054*L1054)</f>
        <v>3505.44</v>
      </c>
      <c r="P1054" s="38">
        <f t="shared" ref="P1054:P1057" si="937">IF(F1054=0,"",K1054+O1054)</f>
        <v>3505.44</v>
      </c>
      <c r="Q1054" s="2"/>
    </row>
    <row r="1055" spans="1:17" x14ac:dyDescent="0.25">
      <c r="A1055" s="122" t="str">
        <f>IF(TRIM(G1055)&lt;&gt;"",COUNTA(G$9:$G1055)&amp;"","")</f>
        <v>840</v>
      </c>
      <c r="B1055" s="123" t="s">
        <v>473</v>
      </c>
      <c r="C1055" s="123" t="s">
        <v>472</v>
      </c>
      <c r="D1055" s="50"/>
      <c r="E1055" s="89" t="s">
        <v>352</v>
      </c>
      <c r="F1055" s="124">
        <v>19</v>
      </c>
      <c r="G1055" s="125" t="s">
        <v>250</v>
      </c>
      <c r="H1055" s="33">
        <f t="shared" si="930"/>
        <v>0</v>
      </c>
      <c r="I1055" s="82">
        <f t="shared" si="931"/>
        <v>19</v>
      </c>
      <c r="J1055" s="221">
        <f t="shared" si="932"/>
        <v>0</v>
      </c>
      <c r="K1055" s="35">
        <f t="shared" si="933"/>
        <v>0</v>
      </c>
      <c r="L1055" s="36">
        <f t="shared" si="934"/>
        <v>73.03</v>
      </c>
      <c r="M1055" s="37">
        <v>2</v>
      </c>
      <c r="N1055" s="37">
        <f t="shared" si="935"/>
        <v>38</v>
      </c>
      <c r="O1055" s="35">
        <f t="shared" si="936"/>
        <v>2775.14</v>
      </c>
      <c r="P1055" s="38">
        <f t="shared" si="937"/>
        <v>2775.14</v>
      </c>
      <c r="Q1055" s="2"/>
    </row>
    <row r="1056" spans="1:17" x14ac:dyDescent="0.25">
      <c r="A1056" s="122" t="str">
        <f>IF(TRIM(G1056)&lt;&gt;"",COUNTA(G$9:$G1056)&amp;"","")</f>
        <v>841</v>
      </c>
      <c r="B1056" s="123" t="s">
        <v>473</v>
      </c>
      <c r="C1056" s="123" t="s">
        <v>472</v>
      </c>
      <c r="D1056" s="50"/>
      <c r="E1056" s="89" t="s">
        <v>729</v>
      </c>
      <c r="F1056" s="124">
        <v>22</v>
      </c>
      <c r="G1056" s="125" t="s">
        <v>250</v>
      </c>
      <c r="H1056" s="33">
        <f t="shared" si="930"/>
        <v>0</v>
      </c>
      <c r="I1056" s="82">
        <f t="shared" si="931"/>
        <v>22</v>
      </c>
      <c r="J1056" s="221">
        <f t="shared" si="932"/>
        <v>0</v>
      </c>
      <c r="K1056" s="35">
        <f t="shared" si="933"/>
        <v>0</v>
      </c>
      <c r="L1056" s="36">
        <f t="shared" si="934"/>
        <v>73.03</v>
      </c>
      <c r="M1056" s="37">
        <v>2</v>
      </c>
      <c r="N1056" s="37">
        <f t="shared" si="935"/>
        <v>44</v>
      </c>
      <c r="O1056" s="35">
        <f t="shared" si="936"/>
        <v>3213.32</v>
      </c>
      <c r="P1056" s="38">
        <f t="shared" si="937"/>
        <v>3213.32</v>
      </c>
      <c r="Q1056" s="2"/>
    </row>
    <row r="1057" spans="1:17" x14ac:dyDescent="0.25">
      <c r="A1057" s="122" t="str">
        <f>IF(TRIM(G1057)&lt;&gt;"",COUNTA(G$9:$G1057)&amp;"","")</f>
        <v>842</v>
      </c>
      <c r="B1057" s="123" t="s">
        <v>473</v>
      </c>
      <c r="C1057" s="123" t="s">
        <v>472</v>
      </c>
      <c r="D1057" s="50"/>
      <c r="E1057" s="89" t="s">
        <v>353</v>
      </c>
      <c r="F1057" s="124">
        <v>14</v>
      </c>
      <c r="G1057" s="125" t="s">
        <v>250</v>
      </c>
      <c r="H1057" s="33">
        <f t="shared" si="930"/>
        <v>0</v>
      </c>
      <c r="I1057" s="82">
        <f t="shared" si="931"/>
        <v>14</v>
      </c>
      <c r="J1057" s="221">
        <f t="shared" si="932"/>
        <v>0</v>
      </c>
      <c r="K1057" s="35">
        <f t="shared" si="933"/>
        <v>0</v>
      </c>
      <c r="L1057" s="36">
        <f t="shared" si="934"/>
        <v>73.03</v>
      </c>
      <c r="M1057" s="37">
        <v>2</v>
      </c>
      <c r="N1057" s="37">
        <f t="shared" si="935"/>
        <v>28</v>
      </c>
      <c r="O1057" s="35">
        <f t="shared" si="936"/>
        <v>2044.8400000000001</v>
      </c>
      <c r="P1057" s="38">
        <f t="shared" si="937"/>
        <v>2044.8400000000001</v>
      </c>
      <c r="Q1057" s="2"/>
    </row>
    <row r="1058" spans="1:17" x14ac:dyDescent="0.25">
      <c r="A1058" s="122" t="str">
        <f>IF(TRIM(G1058)&lt;&gt;"",COUNTA(G$9:$G1058)&amp;"","")</f>
        <v>843</v>
      </c>
      <c r="B1058" s="123" t="s">
        <v>473</v>
      </c>
      <c r="C1058" s="123" t="s">
        <v>472</v>
      </c>
      <c r="D1058" s="50"/>
      <c r="E1058" s="89" t="s">
        <v>354</v>
      </c>
      <c r="F1058" s="124">
        <v>26</v>
      </c>
      <c r="G1058" s="125" t="s">
        <v>250</v>
      </c>
      <c r="H1058" s="33">
        <f t="shared" si="922"/>
        <v>0</v>
      </c>
      <c r="I1058" s="82">
        <f t="shared" si="923"/>
        <v>26</v>
      </c>
      <c r="J1058" s="221">
        <f t="shared" si="924"/>
        <v>0</v>
      </c>
      <c r="K1058" s="35">
        <f t="shared" si="925"/>
        <v>0</v>
      </c>
      <c r="L1058" s="36">
        <f t="shared" si="926"/>
        <v>73.03</v>
      </c>
      <c r="M1058" s="37">
        <v>2</v>
      </c>
      <c r="N1058" s="37">
        <f t="shared" si="927"/>
        <v>52</v>
      </c>
      <c r="O1058" s="35">
        <f t="shared" si="928"/>
        <v>3797.56</v>
      </c>
      <c r="P1058" s="38">
        <f t="shared" si="929"/>
        <v>3797.56</v>
      </c>
      <c r="Q1058" s="2"/>
    </row>
    <row r="1059" spans="1:17" x14ac:dyDescent="0.25">
      <c r="A1059" s="122" t="str">
        <f>IF(TRIM(G1059)&lt;&gt;"",COUNTA(G$9:$G1059)&amp;"","")</f>
        <v>844</v>
      </c>
      <c r="B1059" s="123" t="s">
        <v>473</v>
      </c>
      <c r="C1059" s="123" t="s">
        <v>472</v>
      </c>
      <c r="D1059" s="50"/>
      <c r="E1059" s="89" t="s">
        <v>355</v>
      </c>
      <c r="F1059" s="124">
        <v>32</v>
      </c>
      <c r="G1059" s="125" t="s">
        <v>250</v>
      </c>
      <c r="H1059" s="33">
        <f t="shared" si="918"/>
        <v>0</v>
      </c>
      <c r="I1059" s="82">
        <f t="shared" si="913"/>
        <v>32</v>
      </c>
      <c r="J1059" s="221">
        <f t="shared" si="919"/>
        <v>0</v>
      </c>
      <c r="K1059" s="35">
        <f t="shared" si="914"/>
        <v>0</v>
      </c>
      <c r="L1059" s="36">
        <f t="shared" si="920"/>
        <v>73.03</v>
      </c>
      <c r="M1059" s="37">
        <v>2</v>
      </c>
      <c r="N1059" s="37">
        <f t="shared" si="915"/>
        <v>64</v>
      </c>
      <c r="O1059" s="35">
        <f t="shared" si="916"/>
        <v>4673.92</v>
      </c>
      <c r="P1059" s="38">
        <f t="shared" si="917"/>
        <v>4673.92</v>
      </c>
      <c r="Q1059" s="2"/>
    </row>
    <row r="1060" spans="1:17" x14ac:dyDescent="0.25">
      <c r="A1060" s="122" t="str">
        <f>IF(TRIM(G1060)&lt;&gt;"",COUNTA(G$9:$G1060)&amp;"","")</f>
        <v>845</v>
      </c>
      <c r="B1060" s="123" t="s">
        <v>473</v>
      </c>
      <c r="C1060" s="123" t="s">
        <v>472</v>
      </c>
      <c r="D1060" s="50"/>
      <c r="E1060" s="89" t="s">
        <v>356</v>
      </c>
      <c r="F1060" s="124">
        <v>15</v>
      </c>
      <c r="G1060" s="125" t="s">
        <v>250</v>
      </c>
      <c r="H1060" s="33">
        <f t="shared" si="918"/>
        <v>0</v>
      </c>
      <c r="I1060" s="82">
        <f t="shared" si="913"/>
        <v>15</v>
      </c>
      <c r="J1060" s="221">
        <f t="shared" si="919"/>
        <v>0</v>
      </c>
      <c r="K1060" s="35">
        <f t="shared" si="914"/>
        <v>0</v>
      </c>
      <c r="L1060" s="36">
        <f t="shared" si="920"/>
        <v>73.03</v>
      </c>
      <c r="M1060" s="37">
        <v>2</v>
      </c>
      <c r="N1060" s="37">
        <f t="shared" si="915"/>
        <v>30</v>
      </c>
      <c r="O1060" s="35">
        <f t="shared" si="916"/>
        <v>2190.9</v>
      </c>
      <c r="P1060" s="38">
        <f t="shared" si="917"/>
        <v>2190.9</v>
      </c>
      <c r="Q1060" s="2"/>
    </row>
    <row r="1061" spans="1:17" x14ac:dyDescent="0.25">
      <c r="A1061" s="122" t="str">
        <f>IF(TRIM(G1061)&lt;&gt;"",COUNTA(G$9:$G1061)&amp;"","")</f>
        <v>846</v>
      </c>
      <c r="B1061" s="123" t="s">
        <v>473</v>
      </c>
      <c r="C1061" s="123" t="s">
        <v>472</v>
      </c>
      <c r="D1061" s="50"/>
      <c r="E1061" s="89" t="s">
        <v>357</v>
      </c>
      <c r="F1061" s="124">
        <v>9</v>
      </c>
      <c r="G1061" s="125" t="s">
        <v>250</v>
      </c>
      <c r="H1061" s="33">
        <f t="shared" si="918"/>
        <v>0</v>
      </c>
      <c r="I1061" s="82">
        <f t="shared" si="913"/>
        <v>9</v>
      </c>
      <c r="J1061" s="221">
        <f t="shared" si="919"/>
        <v>0</v>
      </c>
      <c r="K1061" s="35">
        <f t="shared" si="914"/>
        <v>0</v>
      </c>
      <c r="L1061" s="36">
        <f t="shared" si="920"/>
        <v>73.03</v>
      </c>
      <c r="M1061" s="37">
        <v>2</v>
      </c>
      <c r="N1061" s="37">
        <f t="shared" si="915"/>
        <v>18</v>
      </c>
      <c r="O1061" s="35">
        <f t="shared" si="916"/>
        <v>1314.54</v>
      </c>
      <c r="P1061" s="38">
        <f t="shared" si="917"/>
        <v>1314.54</v>
      </c>
      <c r="Q1061" s="2"/>
    </row>
    <row r="1062" spans="1:17" x14ac:dyDescent="0.25">
      <c r="A1062" s="122" t="str">
        <f>IF(TRIM(G1062)&lt;&gt;"",COUNTA(G$9:$G1062)&amp;"","")</f>
        <v>847</v>
      </c>
      <c r="B1062" s="123" t="s">
        <v>473</v>
      </c>
      <c r="C1062" s="123" t="s">
        <v>472</v>
      </c>
      <c r="D1062" s="50"/>
      <c r="E1062" s="89" t="s">
        <v>358</v>
      </c>
      <c r="F1062" s="124">
        <v>10</v>
      </c>
      <c r="G1062" s="125" t="s">
        <v>250</v>
      </c>
      <c r="H1062" s="33">
        <f t="shared" ref="H1062:H1066" si="938">IF(F1062=0,"",0)</f>
        <v>0</v>
      </c>
      <c r="I1062" s="82">
        <f t="shared" ref="I1062:I1066" si="939">IF(F1062=0,"",F1062+(F1062*H1062))</f>
        <v>10</v>
      </c>
      <c r="J1062" s="221">
        <f t="shared" ref="J1062:J1065" si="940">IF(F1062=0,"",0)</f>
        <v>0</v>
      </c>
      <c r="K1062" s="35">
        <f t="shared" ref="K1062:K1065" si="941">IF(F1062=0,"",J1062*I1062)</f>
        <v>0</v>
      </c>
      <c r="L1062" s="36">
        <f t="shared" ref="L1062:L1065" si="942">IF(F1062=0,"",L$963)</f>
        <v>73.03</v>
      </c>
      <c r="M1062" s="37">
        <v>2</v>
      </c>
      <c r="N1062" s="37">
        <f t="shared" ref="N1062:N1065" si="943">IF(F1062=0,"",M1062*I1062)</f>
        <v>20</v>
      </c>
      <c r="O1062" s="35">
        <f t="shared" ref="O1062:O1065" si="944">IF(F1062=0,"",N1062*L1062)</f>
        <v>1460.6</v>
      </c>
      <c r="P1062" s="38">
        <f t="shared" ref="P1062:P1065" si="945">IF(F1062=0,"",K1062+O1062)</f>
        <v>1460.6</v>
      </c>
      <c r="Q1062" s="2"/>
    </row>
    <row r="1063" spans="1:17" x14ac:dyDescent="0.25">
      <c r="A1063" s="122" t="str">
        <f>IF(TRIM(G1063)&lt;&gt;"",COUNTA(G$9:$G1063)&amp;"","")</f>
        <v>848</v>
      </c>
      <c r="B1063" s="123" t="s">
        <v>473</v>
      </c>
      <c r="C1063" s="123" t="s">
        <v>472</v>
      </c>
      <c r="D1063" s="50"/>
      <c r="E1063" s="89" t="s">
        <v>359</v>
      </c>
      <c r="F1063" s="124">
        <v>6</v>
      </c>
      <c r="G1063" s="125" t="s">
        <v>250</v>
      </c>
      <c r="H1063" s="33">
        <f t="shared" si="938"/>
        <v>0</v>
      </c>
      <c r="I1063" s="82">
        <f t="shared" si="939"/>
        <v>6</v>
      </c>
      <c r="J1063" s="221">
        <f t="shared" si="940"/>
        <v>0</v>
      </c>
      <c r="K1063" s="35">
        <f t="shared" si="941"/>
        <v>0</v>
      </c>
      <c r="L1063" s="36">
        <f t="shared" si="942"/>
        <v>73.03</v>
      </c>
      <c r="M1063" s="37">
        <v>2</v>
      </c>
      <c r="N1063" s="37">
        <f t="shared" si="943"/>
        <v>12</v>
      </c>
      <c r="O1063" s="35">
        <f t="shared" si="944"/>
        <v>876.36</v>
      </c>
      <c r="P1063" s="38">
        <f t="shared" si="945"/>
        <v>876.36</v>
      </c>
      <c r="Q1063" s="2"/>
    </row>
    <row r="1064" spans="1:17" x14ac:dyDescent="0.25">
      <c r="A1064" s="122" t="str">
        <f>IF(TRIM(G1064)&lt;&gt;"",COUNTA(G$9:$G1064)&amp;"","")</f>
        <v>849</v>
      </c>
      <c r="B1064" s="123" t="s">
        <v>473</v>
      </c>
      <c r="C1064" s="123" t="s">
        <v>472</v>
      </c>
      <c r="D1064" s="50"/>
      <c r="E1064" s="89" t="s">
        <v>360</v>
      </c>
      <c r="F1064" s="124">
        <v>5</v>
      </c>
      <c r="G1064" s="125" t="s">
        <v>250</v>
      </c>
      <c r="H1064" s="33">
        <f t="shared" si="938"/>
        <v>0</v>
      </c>
      <c r="I1064" s="82">
        <f t="shared" si="939"/>
        <v>5</v>
      </c>
      <c r="J1064" s="221">
        <f t="shared" si="940"/>
        <v>0</v>
      </c>
      <c r="K1064" s="35">
        <f t="shared" si="941"/>
        <v>0</v>
      </c>
      <c r="L1064" s="36">
        <f t="shared" si="942"/>
        <v>73.03</v>
      </c>
      <c r="M1064" s="37">
        <v>2</v>
      </c>
      <c r="N1064" s="37">
        <f t="shared" si="943"/>
        <v>10</v>
      </c>
      <c r="O1064" s="35">
        <f t="shared" si="944"/>
        <v>730.3</v>
      </c>
      <c r="P1064" s="38">
        <f t="shared" si="945"/>
        <v>730.3</v>
      </c>
      <c r="Q1064" s="2"/>
    </row>
    <row r="1065" spans="1:17" s="28" customFormat="1" ht="19.149999999999999" customHeight="1" x14ac:dyDescent="0.25">
      <c r="A1065" s="122" t="str">
        <f>IF(TRIM(G1065)&lt;&gt;"",COUNTA(G$9:$G1065)&amp;"","")</f>
        <v/>
      </c>
      <c r="B1065" s="49"/>
      <c r="C1065" s="49"/>
      <c r="D1065" s="50" t="s">
        <v>566</v>
      </c>
      <c r="E1065" s="201" t="s">
        <v>567</v>
      </c>
      <c r="F1065" s="124"/>
      <c r="G1065" s="200"/>
      <c r="H1065" s="33" t="str">
        <f t="shared" si="938"/>
        <v/>
      </c>
      <c r="I1065" s="82" t="str">
        <f t="shared" si="939"/>
        <v/>
      </c>
      <c r="J1065" s="34" t="str">
        <f t="shared" si="940"/>
        <v/>
      </c>
      <c r="K1065" s="35" t="str">
        <f t="shared" si="941"/>
        <v/>
      </c>
      <c r="L1065" s="36" t="str">
        <f t="shared" si="942"/>
        <v/>
      </c>
      <c r="M1065" s="37" t="str">
        <f t="shared" ref="M1065" si="946">IF(F1065=0,"",0)</f>
        <v/>
      </c>
      <c r="N1065" s="37" t="str">
        <f t="shared" si="943"/>
        <v/>
      </c>
      <c r="O1065" s="35" t="str">
        <f t="shared" si="944"/>
        <v/>
      </c>
      <c r="P1065" s="38" t="str">
        <f t="shared" si="945"/>
        <v/>
      </c>
      <c r="Q1065" s="39"/>
    </row>
    <row r="1066" spans="1:17" ht="60" x14ac:dyDescent="0.25">
      <c r="A1066" s="122" t="str">
        <f>IF(TRIM(G1066)&lt;&gt;"",COUNTA(G$9:$G1066)&amp;"","")</f>
        <v>850</v>
      </c>
      <c r="B1066" s="123" t="s">
        <v>473</v>
      </c>
      <c r="C1066" s="123" t="s">
        <v>472</v>
      </c>
      <c r="D1066" s="50"/>
      <c r="E1066" s="194" t="s">
        <v>568</v>
      </c>
      <c r="F1066" s="124">
        <v>1</v>
      </c>
      <c r="G1066" s="200" t="s">
        <v>250</v>
      </c>
      <c r="H1066" s="33">
        <f t="shared" si="938"/>
        <v>0</v>
      </c>
      <c r="I1066" s="82">
        <f t="shared" si="939"/>
        <v>1</v>
      </c>
      <c r="J1066" s="34">
        <v>305.02</v>
      </c>
      <c r="K1066" s="35">
        <f t="shared" ref="K1066" si="947">IF(F1066=0,"",J1066*I1066)</f>
        <v>305.02</v>
      </c>
      <c r="L1066" s="36">
        <f t="shared" ref="L1066" si="948">IF(F1066=0,"",L$963)</f>
        <v>73.03</v>
      </c>
      <c r="M1066" s="37">
        <v>0.96</v>
      </c>
      <c r="N1066" s="37">
        <f t="shared" ref="N1066" si="949">IF(F1066=0,"",M1066*I1066)</f>
        <v>0.96</v>
      </c>
      <c r="O1066" s="35">
        <f t="shared" ref="O1066" si="950">IF(F1066=0,"",N1066*L1066)</f>
        <v>70.108800000000002</v>
      </c>
      <c r="P1066" s="38">
        <f t="shared" ref="P1066" si="951">IF(F1066=0,"",K1066+O1066)</f>
        <v>375.12879999999996</v>
      </c>
      <c r="Q1066" s="2"/>
    </row>
    <row r="1067" spans="1:17" s="28" customFormat="1" ht="19.149999999999999" customHeight="1" x14ac:dyDescent="0.25">
      <c r="A1067" s="122" t="str">
        <f>IF(TRIM(G1067)&lt;&gt;"",COUNTA(G$9:$G1067)&amp;"","")</f>
        <v/>
      </c>
      <c r="B1067" s="49"/>
      <c r="C1067" s="49"/>
      <c r="D1067" s="50" t="s">
        <v>170</v>
      </c>
      <c r="E1067" s="156" t="s">
        <v>169</v>
      </c>
      <c r="F1067" s="124"/>
      <c r="G1067" s="125"/>
      <c r="H1067" s="33" t="str">
        <f t="shared" si="918"/>
        <v/>
      </c>
      <c r="I1067" s="82" t="str">
        <f t="shared" si="913"/>
        <v/>
      </c>
      <c r="J1067" s="34" t="str">
        <f t="shared" si="919"/>
        <v/>
      </c>
      <c r="K1067" s="35" t="str">
        <f t="shared" si="914"/>
        <v/>
      </c>
      <c r="L1067" s="36" t="str">
        <f t="shared" si="920"/>
        <v/>
      </c>
      <c r="M1067" s="37" t="str">
        <f t="shared" si="921"/>
        <v/>
      </c>
      <c r="N1067" s="37" t="str">
        <f t="shared" si="915"/>
        <v/>
      </c>
      <c r="O1067" s="35" t="str">
        <f t="shared" si="916"/>
        <v/>
      </c>
      <c r="P1067" s="38" t="str">
        <f t="shared" si="917"/>
        <v/>
      </c>
      <c r="Q1067" s="39"/>
    </row>
    <row r="1068" spans="1:17" x14ac:dyDescent="0.25">
      <c r="A1068" s="122" t="str">
        <f>IF(TRIM(G1068)&lt;&gt;"",COUNTA(G$9:$G1068)&amp;"","")</f>
        <v>851</v>
      </c>
      <c r="B1068" s="123" t="s">
        <v>473</v>
      </c>
      <c r="C1068" s="123" t="s">
        <v>472</v>
      </c>
      <c r="D1068" s="50"/>
      <c r="E1068" s="89" t="s">
        <v>277</v>
      </c>
      <c r="F1068" s="124">
        <f>55.15*1.33*1/27</f>
        <v>2.7166481481481486</v>
      </c>
      <c r="G1068" s="125" t="s">
        <v>232</v>
      </c>
      <c r="H1068" s="33">
        <v>0.1</v>
      </c>
      <c r="I1068" s="82">
        <f>IF(F1068=0,"",F1068+(F1068*H1068))</f>
        <v>2.9883129629629632</v>
      </c>
      <c r="J1068" s="34">
        <v>288.39999999999998</v>
      </c>
      <c r="K1068" s="35">
        <f>IF(F1068=0,"",J1068*I1068)</f>
        <v>861.82945851851855</v>
      </c>
      <c r="L1068" s="36">
        <f>IF(F1068=0,"",L$963)</f>
        <v>73.03</v>
      </c>
      <c r="M1068" s="37">
        <v>2.61</v>
      </c>
      <c r="N1068" s="37">
        <f>IF(F1068=0,"",M1068*I1068)</f>
        <v>7.7994968333333334</v>
      </c>
      <c r="O1068" s="35">
        <f>IF(F1068=0,"",N1068*L1068)</f>
        <v>569.59725373833339</v>
      </c>
      <c r="P1068" s="38">
        <f>IF(F1068=0,"",K1068+O1068)</f>
        <v>1431.4267122568519</v>
      </c>
      <c r="Q1068" s="2"/>
    </row>
    <row r="1069" spans="1:17" ht="30" x14ac:dyDescent="0.25">
      <c r="A1069" s="122" t="str">
        <f>IF(TRIM(G1069)&lt;&gt;"",COUNTA(G$9:$G1069)&amp;"","")</f>
        <v>852</v>
      </c>
      <c r="B1069" s="123" t="s">
        <v>473</v>
      </c>
      <c r="C1069" s="123" t="s">
        <v>472</v>
      </c>
      <c r="D1069" s="50"/>
      <c r="E1069" s="89" t="s">
        <v>303</v>
      </c>
      <c r="F1069" s="124">
        <f>55.15*2.83</f>
        <v>156.0745</v>
      </c>
      <c r="G1069" s="125" t="s">
        <v>214</v>
      </c>
      <c r="H1069" s="33">
        <v>0.1</v>
      </c>
      <c r="I1069" s="82">
        <f>IF(F1069=0,"",F1069+(F1069*H1069))</f>
        <v>171.68195</v>
      </c>
      <c r="J1069" s="34">
        <v>5.5</v>
      </c>
      <c r="K1069" s="35">
        <f>IF(F1069=0,"",J1069*I1069)</f>
        <v>944.25072499999999</v>
      </c>
      <c r="L1069" s="36">
        <f>IF(F1069=0,"",L$963)</f>
        <v>73.03</v>
      </c>
      <c r="M1069" s="37">
        <v>0.111</v>
      </c>
      <c r="N1069" s="37">
        <f>IF(F1069=0,"",M1069*I1069)</f>
        <v>19.05669645</v>
      </c>
      <c r="O1069" s="35">
        <f>IF(F1069=0,"",N1069*L1069)</f>
        <v>1391.7105417435</v>
      </c>
      <c r="P1069" s="38">
        <f>IF(F1069=0,"",K1069+O1069)</f>
        <v>2335.9612667434999</v>
      </c>
      <c r="Q1069" s="2"/>
    </row>
    <row r="1070" spans="1:17" x14ac:dyDescent="0.25">
      <c r="A1070" s="122" t="str">
        <f>IF(TRIM(G1070)&lt;&gt;"",COUNTA(G$9:$G1070)&amp;"","")</f>
        <v>853</v>
      </c>
      <c r="B1070" s="123" t="s">
        <v>473</v>
      </c>
      <c r="C1070" s="123" t="s">
        <v>472</v>
      </c>
      <c r="D1070" s="50"/>
      <c r="E1070" s="195" t="s">
        <v>278</v>
      </c>
      <c r="F1070" s="124">
        <v>55.15</v>
      </c>
      <c r="G1070" s="125" t="s">
        <v>228</v>
      </c>
      <c r="H1070" s="33">
        <v>0.1</v>
      </c>
      <c r="I1070" s="82">
        <f>IF(F1070=0,"",F1070+(F1070*H1070))</f>
        <v>60.664999999999999</v>
      </c>
      <c r="J1070" s="34">
        <v>4.25</v>
      </c>
      <c r="K1070" s="35">
        <f>IF(F1070=0,"",J1070*I1070)</f>
        <v>257.82625000000002</v>
      </c>
      <c r="L1070" s="36">
        <f>IF(F1070=0,"",L$963)</f>
        <v>73.03</v>
      </c>
      <c r="M1070" s="37">
        <v>0.153</v>
      </c>
      <c r="N1070" s="37">
        <f>IF(F1070=0,"",M1070*I1070)</f>
        <v>9.281744999999999</v>
      </c>
      <c r="O1070" s="35">
        <f>IF(F1070=0,"",N1070*L1070)</f>
        <v>677.8458373499999</v>
      </c>
      <c r="P1070" s="38">
        <f>IF(F1070=0,"",K1070+O1070)</f>
        <v>935.67208734999986</v>
      </c>
      <c r="Q1070" s="2"/>
    </row>
    <row r="1071" spans="1:17" ht="15.75" thickBot="1" x14ac:dyDescent="0.3">
      <c r="A1071" s="122" t="str">
        <f>IF(TRIM(G1071)&lt;&gt;"",COUNTA(G$9:$G1071)&amp;"","")</f>
        <v/>
      </c>
      <c r="B1071" s="126"/>
      <c r="C1071" s="126"/>
      <c r="D1071" s="50"/>
      <c r="E1071" s="127"/>
      <c r="F1071" s="124"/>
      <c r="G1071" s="125"/>
      <c r="H1071" s="33" t="str">
        <f t="shared" si="918"/>
        <v/>
      </c>
      <c r="I1071" s="82" t="str">
        <f t="shared" si="913"/>
        <v/>
      </c>
      <c r="J1071" s="34" t="str">
        <f t="shared" si="919"/>
        <v/>
      </c>
      <c r="K1071" s="35" t="str">
        <f t="shared" si="914"/>
        <v/>
      </c>
      <c r="L1071" s="36" t="str">
        <f t="shared" si="920"/>
        <v/>
      </c>
      <c r="M1071" s="37" t="str">
        <f t="shared" si="921"/>
        <v/>
      </c>
      <c r="N1071" s="37" t="str">
        <f t="shared" si="915"/>
        <v/>
      </c>
      <c r="O1071" s="35" t="str">
        <f t="shared" si="916"/>
        <v/>
      </c>
      <c r="P1071" s="38" t="str">
        <f t="shared" si="917"/>
        <v/>
      </c>
      <c r="Q1071" s="2"/>
    </row>
    <row r="1072" spans="1:17" s="3" customFormat="1" ht="16.5" thickBot="1" x14ac:dyDescent="0.3">
      <c r="A1072" s="122" t="str">
        <f>IF(TRIM(G1072)&lt;&gt;"",COUNTA(G$9:$G1072)&amp;"","")</f>
        <v/>
      </c>
      <c r="B1072" s="123"/>
      <c r="C1072" s="123"/>
      <c r="D1072" s="54"/>
      <c r="E1072" s="29"/>
      <c r="F1072" s="124"/>
      <c r="G1072" s="129"/>
      <c r="H1072" s="151" t="s">
        <v>12</v>
      </c>
      <c r="I1072" s="152"/>
      <c r="J1072" s="68">
        <f>SUM(K$992:K$1071)</f>
        <v>215205.75701360006</v>
      </c>
      <c r="K1072" s="390" t="s">
        <v>13</v>
      </c>
      <c r="L1072" s="391"/>
      <c r="M1072" s="69">
        <f>SUM(O$992:O$1071)</f>
        <v>187617.00893025586</v>
      </c>
      <c r="N1072" s="390" t="s">
        <v>43</v>
      </c>
      <c r="O1072" s="391"/>
      <c r="P1072" s="70">
        <f>SUM(N$992:N$1071)</f>
        <v>2569.0402427804443</v>
      </c>
      <c r="Q1072" s="71">
        <f>SUM(P$992:P$1071)</f>
        <v>402822.7659438558</v>
      </c>
    </row>
    <row r="1073" spans="1:17" ht="20.100000000000001" customHeight="1" x14ac:dyDescent="0.25">
      <c r="A1073" s="153" t="str">
        <f>IF(TRIM(G1073)&lt;&gt;"",COUNTA(G$9:$G1073)&amp;"","")</f>
        <v/>
      </c>
      <c r="B1073" s="31"/>
      <c r="C1073" s="162" t="s">
        <v>192</v>
      </c>
      <c r="D1073" s="154" t="s">
        <v>171</v>
      </c>
      <c r="E1073" s="154" t="s">
        <v>191</v>
      </c>
      <c r="F1073" s="78"/>
      <c r="G1073" s="79"/>
      <c r="H1073" s="31"/>
      <c r="I1073" s="79"/>
      <c r="J1073" s="31"/>
      <c r="K1073" s="31"/>
      <c r="L1073" s="31"/>
      <c r="M1073" s="31"/>
      <c r="N1073" s="31"/>
      <c r="O1073" s="31"/>
      <c r="P1073" s="31"/>
      <c r="Q1073" s="155"/>
    </row>
    <row r="1074" spans="1:17" s="28" customFormat="1" ht="19.149999999999999" customHeight="1" x14ac:dyDescent="0.25">
      <c r="A1074" s="122" t="str">
        <f>IF(TRIM(G1074)&lt;&gt;"",COUNTA(G$9:$G1074)&amp;"","")</f>
        <v/>
      </c>
      <c r="B1074" s="49"/>
      <c r="C1074" s="49"/>
      <c r="D1074" s="50" t="s">
        <v>173</v>
      </c>
      <c r="E1074" s="156" t="s">
        <v>172</v>
      </c>
      <c r="F1074" s="124"/>
      <c r="G1074" s="125"/>
      <c r="H1074" s="33" t="str">
        <f>IF(F1074=0,"",0)</f>
        <v/>
      </c>
      <c r="I1074" s="82" t="str">
        <f t="shared" ref="I1074:I1086" si="952">IF(F1074=0,"",F1074+(F1074*H1074))</f>
        <v/>
      </c>
      <c r="J1074" s="34" t="str">
        <f>IF(F1074=0,"",0)</f>
        <v/>
      </c>
      <c r="K1074" s="35" t="str">
        <f>IF(F1074=0,"",J1074*I1074)</f>
        <v/>
      </c>
      <c r="L1074" s="36" t="str">
        <f t="shared" ref="L1074:L1080" si="953">IF(F1074=0,"",L$963)</f>
        <v/>
      </c>
      <c r="M1074" s="37" t="str">
        <f>IF(F1074=0,"",0)</f>
        <v/>
      </c>
      <c r="N1074" s="37" t="str">
        <f>IF(F1074=0,"",M1074*I1074)</f>
        <v/>
      </c>
      <c r="O1074" s="35" t="str">
        <f>IF(F1074=0,"",N1074*L1074)</f>
        <v/>
      </c>
      <c r="P1074" s="38" t="str">
        <f>IF(F1074=0,"",K1074+O1074)</f>
        <v/>
      </c>
      <c r="Q1074" s="39"/>
    </row>
    <row r="1075" spans="1:17" x14ac:dyDescent="0.25">
      <c r="A1075" s="122" t="str">
        <f>IF(TRIM(G1075)&lt;&gt;"",COUNTA(G$9:$G1075)&amp;"","")</f>
        <v>854</v>
      </c>
      <c r="B1075" s="123" t="s">
        <v>475</v>
      </c>
      <c r="C1075" s="123" t="s">
        <v>475</v>
      </c>
      <c r="D1075" s="50"/>
      <c r="E1075" s="111" t="s">
        <v>329</v>
      </c>
      <c r="F1075" s="124">
        <v>195.18</v>
      </c>
      <c r="G1075" s="125" t="s">
        <v>228</v>
      </c>
      <c r="H1075" s="33">
        <f t="shared" ref="H1075:H1080" si="954">IF(F1075=0,"",0)</f>
        <v>0</v>
      </c>
      <c r="I1075" s="82">
        <f t="shared" ref="I1075:I1080" si="955">IF(F1075=0,"",F1075+(F1075*H1075))</f>
        <v>195.18</v>
      </c>
      <c r="J1075" s="34">
        <v>8.41</v>
      </c>
      <c r="K1075" s="35">
        <f t="shared" ref="K1075:K1080" si="956">IF(F1075=0,"",J1075*I1075)</f>
        <v>1641.4638</v>
      </c>
      <c r="L1075" s="36">
        <f t="shared" si="953"/>
        <v>73.03</v>
      </c>
      <c r="M1075" s="37">
        <v>0.27100000000000002</v>
      </c>
      <c r="N1075" s="37">
        <f t="shared" ref="N1075:N1080" si="957">IF(F1075=0,"",M1075*I1075)</f>
        <v>52.893780000000007</v>
      </c>
      <c r="O1075" s="35">
        <f t="shared" ref="O1075:O1080" si="958">IF(F1075=0,"",N1075*L1075)</f>
        <v>3862.8327534000005</v>
      </c>
      <c r="P1075" s="38">
        <f t="shared" ref="P1075:P1080" si="959">IF(F1075=0,"",K1075+O1075)</f>
        <v>5504.2965534000004</v>
      </c>
      <c r="Q1075" s="2"/>
    </row>
    <row r="1076" spans="1:17" x14ac:dyDescent="0.25">
      <c r="A1076" s="122" t="str">
        <f>IF(TRIM(G1076)&lt;&gt;"",COUNTA(G$9:$G1076)&amp;"","")</f>
        <v>855</v>
      </c>
      <c r="B1076" s="123" t="s">
        <v>475</v>
      </c>
      <c r="C1076" s="123" t="s">
        <v>475</v>
      </c>
      <c r="D1076" s="50"/>
      <c r="E1076" s="111" t="s">
        <v>330</v>
      </c>
      <c r="F1076" s="124">
        <v>129.94999999999999</v>
      </c>
      <c r="G1076" s="125" t="s">
        <v>228</v>
      </c>
      <c r="H1076" s="33">
        <f t="shared" si="954"/>
        <v>0</v>
      </c>
      <c r="I1076" s="82">
        <f t="shared" si="955"/>
        <v>129.94999999999999</v>
      </c>
      <c r="J1076" s="34">
        <v>19.760000000000002</v>
      </c>
      <c r="K1076" s="35">
        <f t="shared" si="956"/>
        <v>2567.8119999999999</v>
      </c>
      <c r="L1076" s="36">
        <f t="shared" si="953"/>
        <v>73.03</v>
      </c>
      <c r="M1076" s="37">
        <v>0.33300000000000002</v>
      </c>
      <c r="N1076" s="37">
        <f t="shared" si="957"/>
        <v>43.273350000000001</v>
      </c>
      <c r="O1076" s="35">
        <f t="shared" si="958"/>
        <v>3160.2527505000003</v>
      </c>
      <c r="P1076" s="38">
        <f t="shared" si="959"/>
        <v>5728.0647504999997</v>
      </c>
      <c r="Q1076" s="2"/>
    </row>
    <row r="1077" spans="1:17" x14ac:dyDescent="0.25">
      <c r="A1077" s="122" t="str">
        <f>IF(TRIM(G1077)&lt;&gt;"",COUNTA(G$9:$G1077)&amp;"","")</f>
        <v>856</v>
      </c>
      <c r="B1077" s="123" t="s">
        <v>475</v>
      </c>
      <c r="C1077" s="123" t="s">
        <v>475</v>
      </c>
      <c r="D1077" s="50"/>
      <c r="E1077" s="111" t="s">
        <v>331</v>
      </c>
      <c r="F1077" s="124">
        <v>9.9499999999999993</v>
      </c>
      <c r="G1077" s="125" t="s">
        <v>228</v>
      </c>
      <c r="H1077" s="33">
        <f t="shared" si="954"/>
        <v>0</v>
      </c>
      <c r="I1077" s="82">
        <f t="shared" si="955"/>
        <v>9.9499999999999993</v>
      </c>
      <c r="J1077" s="34">
        <v>42.27</v>
      </c>
      <c r="K1077" s="35">
        <f t="shared" si="956"/>
        <v>420.5865</v>
      </c>
      <c r="L1077" s="36">
        <f t="shared" si="953"/>
        <v>73.03</v>
      </c>
      <c r="M1077" s="37">
        <v>0.41</v>
      </c>
      <c r="N1077" s="37">
        <f t="shared" si="957"/>
        <v>4.0794999999999995</v>
      </c>
      <c r="O1077" s="35">
        <f t="shared" si="958"/>
        <v>297.92588499999994</v>
      </c>
      <c r="P1077" s="38">
        <f t="shared" si="959"/>
        <v>718.51238499999999</v>
      </c>
      <c r="Q1077" s="2"/>
    </row>
    <row r="1078" spans="1:17" x14ac:dyDescent="0.25">
      <c r="A1078" s="122" t="str">
        <f>IF(TRIM(G1078)&lt;&gt;"",COUNTA(G$9:$G1078)&amp;"","")</f>
        <v>857</v>
      </c>
      <c r="B1078" s="123" t="s">
        <v>475</v>
      </c>
      <c r="C1078" s="123" t="s">
        <v>475</v>
      </c>
      <c r="D1078" s="50"/>
      <c r="E1078" s="111" t="s">
        <v>332</v>
      </c>
      <c r="F1078" s="124">
        <v>475.73</v>
      </c>
      <c r="G1078" s="125" t="s">
        <v>228</v>
      </c>
      <c r="H1078" s="33">
        <f t="shared" si="954"/>
        <v>0</v>
      </c>
      <c r="I1078" s="82">
        <f t="shared" si="955"/>
        <v>475.73</v>
      </c>
      <c r="J1078" s="34">
        <v>60.65</v>
      </c>
      <c r="K1078" s="35">
        <f t="shared" si="956"/>
        <v>28853.0245</v>
      </c>
      <c r="L1078" s="36">
        <f t="shared" si="953"/>
        <v>73.03</v>
      </c>
      <c r="M1078" s="37">
        <v>0.5</v>
      </c>
      <c r="N1078" s="37">
        <f t="shared" si="957"/>
        <v>237.86500000000001</v>
      </c>
      <c r="O1078" s="35">
        <f t="shared" si="958"/>
        <v>17371.28095</v>
      </c>
      <c r="P1078" s="38">
        <f t="shared" si="959"/>
        <v>46224.30545</v>
      </c>
      <c r="Q1078" s="2"/>
    </row>
    <row r="1079" spans="1:17" x14ac:dyDescent="0.25">
      <c r="A1079" s="122" t="str">
        <f>IF(TRIM(G1079)&lt;&gt;"",COUNTA(G$9:$G1079)&amp;"","")</f>
        <v>858</v>
      </c>
      <c r="B1079" s="123" t="s">
        <v>475</v>
      </c>
      <c r="C1079" s="123" t="s">
        <v>475</v>
      </c>
      <c r="D1079" s="50"/>
      <c r="E1079" s="111" t="s">
        <v>333</v>
      </c>
      <c r="F1079" s="124">
        <v>2</v>
      </c>
      <c r="G1079" s="125" t="s">
        <v>250</v>
      </c>
      <c r="H1079" s="33">
        <f t="shared" si="954"/>
        <v>0</v>
      </c>
      <c r="I1079" s="82">
        <f t="shared" si="955"/>
        <v>2</v>
      </c>
      <c r="J1079" s="34">
        <v>2134.4</v>
      </c>
      <c r="K1079" s="35">
        <f t="shared" si="956"/>
        <v>4268.8</v>
      </c>
      <c r="L1079" s="36">
        <f t="shared" si="953"/>
        <v>73.03</v>
      </c>
      <c r="M1079" s="37">
        <v>1.5</v>
      </c>
      <c r="N1079" s="37">
        <f t="shared" si="957"/>
        <v>3</v>
      </c>
      <c r="O1079" s="35">
        <f t="shared" si="958"/>
        <v>219.09</v>
      </c>
      <c r="P1079" s="38">
        <f t="shared" si="959"/>
        <v>4487.8900000000003</v>
      </c>
      <c r="Q1079" s="2"/>
    </row>
    <row r="1080" spans="1:17" x14ac:dyDescent="0.25">
      <c r="A1080" s="122" t="str">
        <f>IF(TRIM(G1080)&lt;&gt;"",COUNTA(G$9:$G1080)&amp;"","")</f>
        <v>859</v>
      </c>
      <c r="B1080" s="123" t="s">
        <v>475</v>
      </c>
      <c r="C1080" s="123" t="s">
        <v>475</v>
      </c>
      <c r="D1080" s="50"/>
      <c r="E1080" s="111" t="s">
        <v>334</v>
      </c>
      <c r="F1080" s="124">
        <v>1</v>
      </c>
      <c r="G1080" s="125" t="s">
        <v>250</v>
      </c>
      <c r="H1080" s="33">
        <f t="shared" si="954"/>
        <v>0</v>
      </c>
      <c r="I1080" s="82">
        <f t="shared" si="955"/>
        <v>1</v>
      </c>
      <c r="J1080" s="34">
        <v>700</v>
      </c>
      <c r="K1080" s="35">
        <f t="shared" si="956"/>
        <v>700</v>
      </c>
      <c r="L1080" s="36">
        <f t="shared" si="953"/>
        <v>73.03</v>
      </c>
      <c r="M1080" s="37">
        <v>0.65</v>
      </c>
      <c r="N1080" s="37">
        <f t="shared" si="957"/>
        <v>0.65</v>
      </c>
      <c r="O1080" s="35">
        <f t="shared" si="958"/>
        <v>47.469500000000004</v>
      </c>
      <c r="P1080" s="38">
        <f t="shared" si="959"/>
        <v>747.46950000000004</v>
      </c>
      <c r="Q1080" s="2"/>
    </row>
    <row r="1081" spans="1:17" ht="30" x14ac:dyDescent="0.25">
      <c r="A1081" s="122" t="str">
        <f>IF(TRIM(G1081)&lt;&gt;"",COUNTA(G$9:$G1081)&amp;"","")</f>
        <v>860</v>
      </c>
      <c r="B1081" s="123" t="s">
        <v>475</v>
      </c>
      <c r="C1081" s="123" t="s">
        <v>475</v>
      </c>
      <c r="D1081" s="50"/>
      <c r="E1081" s="111" t="s">
        <v>335</v>
      </c>
      <c r="F1081" s="124">
        <v>2</v>
      </c>
      <c r="G1081" s="125" t="s">
        <v>250</v>
      </c>
      <c r="H1081" s="33">
        <f t="shared" ref="H1081:H1086" si="960">IF(F1081=0,"",0)</f>
        <v>0</v>
      </c>
      <c r="I1081" s="82">
        <f t="shared" si="952"/>
        <v>2</v>
      </c>
      <c r="J1081" s="34">
        <f t="shared" ref="J1081:J1086" si="961">IF(F1081=0,"",0)</f>
        <v>0</v>
      </c>
      <c r="K1081" s="35">
        <f t="shared" ref="K1081:K1086" si="962">IF(F1081=0,"",J1081*I1081)</f>
        <v>0</v>
      </c>
      <c r="L1081" s="36">
        <f t="shared" ref="L1081:L1086" si="963">IF(F1081=0,"",L$963)</f>
        <v>73.03</v>
      </c>
      <c r="M1081" s="37">
        <f t="shared" ref="M1081:M1086" si="964">IF(F1081=0,"",0)</f>
        <v>0</v>
      </c>
      <c r="N1081" s="37">
        <f t="shared" ref="N1081:N1086" si="965">IF(F1081=0,"",M1081*I1081)</f>
        <v>0</v>
      </c>
      <c r="O1081" s="35">
        <f t="shared" ref="O1081:O1086" si="966">IF(F1081=0,"",N1081*L1081)</f>
        <v>0</v>
      </c>
      <c r="P1081" s="38">
        <f t="shared" ref="P1081:P1086" si="967">IF(F1081=0,"",K1081+O1081)</f>
        <v>0</v>
      </c>
      <c r="Q1081" s="2"/>
    </row>
    <row r="1082" spans="1:17" ht="30" x14ac:dyDescent="0.25">
      <c r="A1082" s="122" t="str">
        <f>IF(TRIM(G1082)&lt;&gt;"",COUNTA(G$9:$G1082)&amp;"","")</f>
        <v>861</v>
      </c>
      <c r="B1082" s="123" t="s">
        <v>475</v>
      </c>
      <c r="C1082" s="123" t="s">
        <v>475</v>
      </c>
      <c r="D1082" s="50"/>
      <c r="E1082" s="111" t="s">
        <v>336</v>
      </c>
      <c r="F1082" s="124">
        <v>1</v>
      </c>
      <c r="G1082" s="125" t="s">
        <v>250</v>
      </c>
      <c r="H1082" s="33">
        <f t="shared" si="960"/>
        <v>0</v>
      </c>
      <c r="I1082" s="82">
        <f t="shared" si="952"/>
        <v>1</v>
      </c>
      <c r="J1082" s="34">
        <f t="shared" si="961"/>
        <v>0</v>
      </c>
      <c r="K1082" s="35">
        <f t="shared" si="962"/>
        <v>0</v>
      </c>
      <c r="L1082" s="36">
        <f t="shared" si="963"/>
        <v>73.03</v>
      </c>
      <c r="M1082" s="37">
        <f t="shared" si="964"/>
        <v>0</v>
      </c>
      <c r="N1082" s="37">
        <f t="shared" si="965"/>
        <v>0</v>
      </c>
      <c r="O1082" s="35">
        <f t="shared" si="966"/>
        <v>0</v>
      </c>
      <c r="P1082" s="38">
        <f t="shared" si="967"/>
        <v>0</v>
      </c>
      <c r="Q1082" s="2"/>
    </row>
    <row r="1083" spans="1:17" x14ac:dyDescent="0.25">
      <c r="A1083" s="122" t="str">
        <f>IF(TRIM(G1083)&lt;&gt;"",COUNTA(G$9:$G1083)&amp;"","")</f>
        <v>862</v>
      </c>
      <c r="B1083" s="123" t="s">
        <v>475</v>
      </c>
      <c r="C1083" s="123" t="s">
        <v>475</v>
      </c>
      <c r="D1083" s="50"/>
      <c r="E1083" s="111" t="s">
        <v>337</v>
      </c>
      <c r="F1083" s="124">
        <v>1</v>
      </c>
      <c r="G1083" s="125" t="s">
        <v>250</v>
      </c>
      <c r="H1083" s="33">
        <f t="shared" si="960"/>
        <v>0</v>
      </c>
      <c r="I1083" s="82">
        <f t="shared" si="952"/>
        <v>1</v>
      </c>
      <c r="J1083" s="34">
        <v>343.36</v>
      </c>
      <c r="K1083" s="35">
        <f t="shared" si="962"/>
        <v>343.36</v>
      </c>
      <c r="L1083" s="36">
        <f t="shared" si="963"/>
        <v>73.03</v>
      </c>
      <c r="M1083" s="37">
        <v>3.33</v>
      </c>
      <c r="N1083" s="37">
        <f t="shared" si="965"/>
        <v>3.33</v>
      </c>
      <c r="O1083" s="35">
        <f t="shared" si="966"/>
        <v>243.18990000000002</v>
      </c>
      <c r="P1083" s="38">
        <f t="shared" si="967"/>
        <v>586.54989999999998</v>
      </c>
      <c r="Q1083" s="2"/>
    </row>
    <row r="1084" spans="1:17" x14ac:dyDescent="0.25">
      <c r="A1084" s="122" t="str">
        <f>IF(TRIM(G1084)&lt;&gt;"",COUNTA(G$9:$G1084)&amp;"","")</f>
        <v>863</v>
      </c>
      <c r="B1084" s="123" t="s">
        <v>475</v>
      </c>
      <c r="C1084" s="123" t="s">
        <v>475</v>
      </c>
      <c r="D1084" s="50"/>
      <c r="E1084" s="111" t="s">
        <v>338</v>
      </c>
      <c r="F1084" s="124">
        <v>1</v>
      </c>
      <c r="G1084" s="125" t="s">
        <v>250</v>
      </c>
      <c r="H1084" s="33">
        <f t="shared" si="960"/>
        <v>0</v>
      </c>
      <c r="I1084" s="82">
        <f t="shared" si="952"/>
        <v>1</v>
      </c>
      <c r="J1084" s="34">
        <f t="shared" si="961"/>
        <v>0</v>
      </c>
      <c r="K1084" s="35">
        <f t="shared" si="962"/>
        <v>0</v>
      </c>
      <c r="L1084" s="36">
        <f t="shared" si="963"/>
        <v>73.03</v>
      </c>
      <c r="M1084" s="37">
        <f t="shared" si="964"/>
        <v>0</v>
      </c>
      <c r="N1084" s="37">
        <f t="shared" si="965"/>
        <v>0</v>
      </c>
      <c r="O1084" s="35">
        <f t="shared" si="966"/>
        <v>0</v>
      </c>
      <c r="P1084" s="38">
        <f t="shared" si="967"/>
        <v>0</v>
      </c>
      <c r="Q1084" s="2"/>
    </row>
    <row r="1085" spans="1:17" x14ac:dyDescent="0.25">
      <c r="A1085" s="122" t="str">
        <f>IF(TRIM(G1085)&lt;&gt;"",COUNTA(G$9:$G1085)&amp;"","")</f>
        <v>864</v>
      </c>
      <c r="B1085" s="123" t="s">
        <v>475</v>
      </c>
      <c r="C1085" s="123" t="s">
        <v>475</v>
      </c>
      <c r="D1085" s="50"/>
      <c r="E1085" s="111" t="s">
        <v>339</v>
      </c>
      <c r="F1085" s="124">
        <v>2</v>
      </c>
      <c r="G1085" s="125" t="s">
        <v>250</v>
      </c>
      <c r="H1085" s="33">
        <f t="shared" si="960"/>
        <v>0</v>
      </c>
      <c r="I1085" s="82">
        <f t="shared" si="952"/>
        <v>2</v>
      </c>
      <c r="J1085" s="34">
        <f t="shared" si="961"/>
        <v>0</v>
      </c>
      <c r="K1085" s="35">
        <f t="shared" si="962"/>
        <v>0</v>
      </c>
      <c r="L1085" s="36">
        <f t="shared" si="963"/>
        <v>73.03</v>
      </c>
      <c r="M1085" s="37">
        <f t="shared" si="964"/>
        <v>0</v>
      </c>
      <c r="N1085" s="37">
        <f t="shared" si="965"/>
        <v>0</v>
      </c>
      <c r="O1085" s="35">
        <f t="shared" si="966"/>
        <v>0</v>
      </c>
      <c r="P1085" s="38">
        <f t="shared" si="967"/>
        <v>0</v>
      </c>
      <c r="Q1085" s="2"/>
    </row>
    <row r="1086" spans="1:17" x14ac:dyDescent="0.25">
      <c r="A1086" s="122" t="str">
        <f>IF(TRIM(G1086)&lt;&gt;"",COUNTA(G$9:$G1086)&amp;"","")</f>
        <v>865</v>
      </c>
      <c r="B1086" s="123" t="s">
        <v>475</v>
      </c>
      <c r="C1086" s="123" t="s">
        <v>475</v>
      </c>
      <c r="D1086" s="50"/>
      <c r="E1086" s="111" t="s">
        <v>340</v>
      </c>
      <c r="F1086" s="124">
        <v>1</v>
      </c>
      <c r="G1086" s="125" t="s">
        <v>250</v>
      </c>
      <c r="H1086" s="33">
        <f t="shared" si="960"/>
        <v>0</v>
      </c>
      <c r="I1086" s="82">
        <f t="shared" si="952"/>
        <v>1</v>
      </c>
      <c r="J1086" s="34">
        <f t="shared" si="961"/>
        <v>0</v>
      </c>
      <c r="K1086" s="35">
        <f t="shared" si="962"/>
        <v>0</v>
      </c>
      <c r="L1086" s="36">
        <f t="shared" si="963"/>
        <v>73.03</v>
      </c>
      <c r="M1086" s="37">
        <f t="shared" si="964"/>
        <v>0</v>
      </c>
      <c r="N1086" s="37">
        <f t="shared" si="965"/>
        <v>0</v>
      </c>
      <c r="O1086" s="35">
        <f t="shared" si="966"/>
        <v>0</v>
      </c>
      <c r="P1086" s="38">
        <f t="shared" si="967"/>
        <v>0</v>
      </c>
      <c r="Q1086" s="2"/>
    </row>
    <row r="1087" spans="1:17" s="28" customFormat="1" ht="19.149999999999999" customHeight="1" x14ac:dyDescent="0.25">
      <c r="A1087" s="122" t="str">
        <f>IF(TRIM(G1087)&lt;&gt;"",COUNTA(G$9:$G1087)&amp;"","")</f>
        <v/>
      </c>
      <c r="B1087" s="49"/>
      <c r="C1087" s="49"/>
      <c r="D1087" s="50" t="s">
        <v>175</v>
      </c>
      <c r="E1087" s="156" t="s">
        <v>174</v>
      </c>
      <c r="F1087" s="124"/>
      <c r="G1087" s="125"/>
      <c r="H1087" s="33" t="str">
        <f t="shared" ref="H1087:H1113" si="968">IF(F1087=0,"",0)</f>
        <v/>
      </c>
      <c r="I1087" s="82" t="str">
        <f t="shared" ref="I1087:I1113" si="969">IF(F1087=0,"",F1087+(F1087*H1087))</f>
        <v/>
      </c>
      <c r="J1087" s="34" t="str">
        <f t="shared" ref="J1087:J1113" si="970">IF(F1087=0,"",0)</f>
        <v/>
      </c>
      <c r="K1087" s="35" t="str">
        <f t="shared" ref="K1087:K1113" si="971">IF(F1087=0,"",J1087*I1087)</f>
        <v/>
      </c>
      <c r="L1087" s="36" t="str">
        <f t="shared" ref="L1087:L1092" si="972">IF(F1087=0,"",L$963)</f>
        <v/>
      </c>
      <c r="M1087" s="37" t="str">
        <f t="shared" ref="M1087:M1113" si="973">IF(F1087=0,"",0)</f>
        <v/>
      </c>
      <c r="N1087" s="37" t="str">
        <f t="shared" ref="N1087:N1113" si="974">IF(F1087=0,"",M1087*I1087)</f>
        <v/>
      </c>
      <c r="O1087" s="35" t="str">
        <f t="shared" ref="O1087:O1113" si="975">IF(F1087=0,"",N1087*L1087)</f>
        <v/>
      </c>
      <c r="P1087" s="38" t="str">
        <f t="shared" ref="P1087:P1113" si="976">IF(F1087=0,"",K1087+O1087)</f>
        <v/>
      </c>
      <c r="Q1087" s="39"/>
    </row>
    <row r="1088" spans="1:17" x14ac:dyDescent="0.25">
      <c r="A1088" s="122" t="str">
        <f>IF(TRIM(G1088)&lt;&gt;"",COUNTA(G$9:$G1088)&amp;"","")</f>
        <v>866</v>
      </c>
      <c r="B1088" s="123" t="s">
        <v>475</v>
      </c>
      <c r="C1088" s="123" t="s">
        <v>475</v>
      </c>
      <c r="D1088" s="50"/>
      <c r="E1088" s="89" t="s">
        <v>284</v>
      </c>
      <c r="F1088" s="124">
        <v>1</v>
      </c>
      <c r="G1088" s="125" t="s">
        <v>250</v>
      </c>
      <c r="H1088" s="33">
        <f t="shared" si="968"/>
        <v>0</v>
      </c>
      <c r="I1088" s="82">
        <f t="shared" si="969"/>
        <v>1</v>
      </c>
      <c r="J1088" s="34">
        <v>2805</v>
      </c>
      <c r="K1088" s="35">
        <f t="shared" si="971"/>
        <v>2805</v>
      </c>
      <c r="L1088" s="36">
        <f t="shared" si="972"/>
        <v>73.03</v>
      </c>
      <c r="M1088" s="37">
        <v>5.1740000000000004</v>
      </c>
      <c r="N1088" s="37">
        <f t="shared" si="974"/>
        <v>5.1740000000000004</v>
      </c>
      <c r="O1088" s="35">
        <f t="shared" si="975"/>
        <v>377.85722000000004</v>
      </c>
      <c r="P1088" s="38">
        <f t="shared" si="976"/>
        <v>3182.8572199999999</v>
      </c>
      <c r="Q1088" s="2"/>
    </row>
    <row r="1089" spans="1:17" s="28" customFormat="1" ht="19.149999999999999" customHeight="1" x14ac:dyDescent="0.25">
      <c r="A1089" s="122" t="str">
        <f>IF(TRIM(G1089)&lt;&gt;"",COUNTA(G$9:$G1089)&amp;"","")</f>
        <v/>
      </c>
      <c r="B1089" s="49"/>
      <c r="C1089" s="49"/>
      <c r="D1089" s="50" t="s">
        <v>177</v>
      </c>
      <c r="E1089" s="156" t="s">
        <v>176</v>
      </c>
      <c r="F1089" s="124"/>
      <c r="G1089" s="125"/>
      <c r="H1089" s="33" t="str">
        <f t="shared" si="968"/>
        <v/>
      </c>
      <c r="I1089" s="82" t="str">
        <f t="shared" si="969"/>
        <v/>
      </c>
      <c r="J1089" s="34" t="str">
        <f t="shared" si="970"/>
        <v/>
      </c>
      <c r="K1089" s="35" t="str">
        <f t="shared" si="971"/>
        <v/>
      </c>
      <c r="L1089" s="36" t="str">
        <f t="shared" si="972"/>
        <v/>
      </c>
      <c r="M1089" s="37" t="str">
        <f t="shared" si="973"/>
        <v/>
      </c>
      <c r="N1089" s="37" t="str">
        <f t="shared" si="974"/>
        <v/>
      </c>
      <c r="O1089" s="35" t="str">
        <f t="shared" si="975"/>
        <v/>
      </c>
      <c r="P1089" s="38" t="str">
        <f t="shared" si="976"/>
        <v/>
      </c>
      <c r="Q1089" s="39"/>
    </row>
    <row r="1090" spans="1:17" x14ac:dyDescent="0.25">
      <c r="A1090" s="122" t="str">
        <f>IF(TRIM(G1090)&lt;&gt;"",COUNTA(G$9:$G1090)&amp;"","")</f>
        <v>867</v>
      </c>
      <c r="B1090" s="123" t="s">
        <v>475</v>
      </c>
      <c r="C1090" s="123" t="s">
        <v>475</v>
      </c>
      <c r="D1090" s="50"/>
      <c r="E1090" s="89" t="s">
        <v>322</v>
      </c>
      <c r="F1090" s="124">
        <v>329.79</v>
      </c>
      <c r="G1090" s="125" t="s">
        <v>228</v>
      </c>
      <c r="H1090" s="33">
        <v>0.1</v>
      </c>
      <c r="I1090" s="82">
        <f t="shared" si="969"/>
        <v>362.76900000000001</v>
      </c>
      <c r="J1090" s="34">
        <v>60.65</v>
      </c>
      <c r="K1090" s="35">
        <f t="shared" si="971"/>
        <v>22001.939849999999</v>
      </c>
      <c r="L1090" s="36">
        <f t="shared" si="972"/>
        <v>73.03</v>
      </c>
      <c r="M1090" s="37">
        <v>0.5</v>
      </c>
      <c r="N1090" s="37">
        <f t="shared" si="974"/>
        <v>181.3845</v>
      </c>
      <c r="O1090" s="35">
        <f t="shared" si="975"/>
        <v>13246.510035000001</v>
      </c>
      <c r="P1090" s="38">
        <f t="shared" si="976"/>
        <v>35248.449885000002</v>
      </c>
      <c r="Q1090" s="2"/>
    </row>
    <row r="1091" spans="1:17" x14ac:dyDescent="0.25">
      <c r="A1091" s="122" t="str">
        <f>IF(TRIM(G1091)&lt;&gt;"",COUNTA(G$9:$G1091)&amp;"","")</f>
        <v>868</v>
      </c>
      <c r="B1091" s="123" t="s">
        <v>475</v>
      </c>
      <c r="C1091" s="123" t="s">
        <v>475</v>
      </c>
      <c r="D1091" s="50"/>
      <c r="E1091" s="89" t="s">
        <v>323</v>
      </c>
      <c r="F1091" s="124">
        <v>133.69</v>
      </c>
      <c r="G1091" s="125" t="s">
        <v>228</v>
      </c>
      <c r="H1091" s="33">
        <v>0.1</v>
      </c>
      <c r="I1091" s="82">
        <f t="shared" si="969"/>
        <v>147.059</v>
      </c>
      <c r="J1091" s="34">
        <v>42.27</v>
      </c>
      <c r="K1091" s="35">
        <f t="shared" si="971"/>
        <v>6216.1839300000001</v>
      </c>
      <c r="L1091" s="36">
        <f t="shared" si="972"/>
        <v>73.03</v>
      </c>
      <c r="M1091" s="37">
        <v>0.41</v>
      </c>
      <c r="N1091" s="37">
        <f t="shared" si="974"/>
        <v>60.294189999999993</v>
      </c>
      <c r="O1091" s="35">
        <f t="shared" si="975"/>
        <v>4403.2846956999992</v>
      </c>
      <c r="P1091" s="38">
        <f t="shared" si="976"/>
        <v>10619.468625699999</v>
      </c>
      <c r="Q1091" s="2"/>
    </row>
    <row r="1092" spans="1:17" x14ac:dyDescent="0.25">
      <c r="A1092" s="122" t="str">
        <f>IF(TRIM(G1092)&lt;&gt;"",COUNTA(G$9:$G1092)&amp;"","")</f>
        <v>869</v>
      </c>
      <c r="B1092" s="123" t="s">
        <v>475</v>
      </c>
      <c r="C1092" s="123" t="s">
        <v>475</v>
      </c>
      <c r="D1092" s="50"/>
      <c r="E1092" s="89" t="s">
        <v>324</v>
      </c>
      <c r="F1092" s="124">
        <v>3</v>
      </c>
      <c r="G1092" s="125" t="s">
        <v>250</v>
      </c>
      <c r="H1092" s="33">
        <f t="shared" si="968"/>
        <v>0</v>
      </c>
      <c r="I1092" s="82">
        <f t="shared" si="969"/>
        <v>3</v>
      </c>
      <c r="J1092" s="34">
        <v>1200</v>
      </c>
      <c r="K1092" s="35">
        <f t="shared" si="971"/>
        <v>3600</v>
      </c>
      <c r="L1092" s="36">
        <f t="shared" si="972"/>
        <v>73.03</v>
      </c>
      <c r="M1092" s="37">
        <v>6</v>
      </c>
      <c r="N1092" s="37">
        <f t="shared" si="974"/>
        <v>18</v>
      </c>
      <c r="O1092" s="35">
        <f t="shared" si="975"/>
        <v>1314.54</v>
      </c>
      <c r="P1092" s="38">
        <f t="shared" si="976"/>
        <v>4914.54</v>
      </c>
      <c r="Q1092" s="2"/>
    </row>
    <row r="1093" spans="1:17" x14ac:dyDescent="0.25">
      <c r="A1093" s="122" t="str">
        <f>IF(TRIM(G1093)&lt;&gt;"",COUNTA(G$9:$G1093)&amp;"","")</f>
        <v>870</v>
      </c>
      <c r="B1093" s="123" t="s">
        <v>475</v>
      </c>
      <c r="C1093" s="123" t="s">
        <v>475</v>
      </c>
      <c r="D1093" s="50"/>
      <c r="E1093" s="89" t="s">
        <v>325</v>
      </c>
      <c r="F1093" s="124">
        <v>4</v>
      </c>
      <c r="G1093" s="125" t="s">
        <v>250</v>
      </c>
      <c r="H1093" s="33">
        <f t="shared" ref="H1093:H1094" si="977">IF(F1093=0,"",0)</f>
        <v>0</v>
      </c>
      <c r="I1093" s="82">
        <f t="shared" ref="I1093:I1094" si="978">IF(F1093=0,"",F1093+(F1093*H1093))</f>
        <v>4</v>
      </c>
      <c r="J1093" s="34">
        <v>775</v>
      </c>
      <c r="K1093" s="35">
        <f t="shared" ref="K1093:K1094" si="979">IF(F1093=0,"",J1093*I1093)</f>
        <v>3100</v>
      </c>
      <c r="L1093" s="36">
        <f t="shared" ref="L1093:L1094" si="980">IF(F1093=0,"",L$963)</f>
        <v>73.03</v>
      </c>
      <c r="M1093" s="37">
        <v>2.6</v>
      </c>
      <c r="N1093" s="37">
        <f t="shared" ref="N1093:N1094" si="981">IF(F1093=0,"",M1093*I1093)</f>
        <v>10.4</v>
      </c>
      <c r="O1093" s="35">
        <f t="shared" ref="O1093:O1094" si="982">IF(F1093=0,"",N1093*L1093)</f>
        <v>759.51200000000006</v>
      </c>
      <c r="P1093" s="38">
        <f t="shared" ref="P1093:P1094" si="983">IF(F1093=0,"",K1093+O1093)</f>
        <v>3859.5120000000002</v>
      </c>
      <c r="Q1093" s="2"/>
    </row>
    <row r="1094" spans="1:17" x14ac:dyDescent="0.25">
      <c r="A1094" s="122" t="str">
        <f>IF(TRIM(G1094)&lt;&gt;"",COUNTA(G$9:$G1094)&amp;"","")</f>
        <v>871</v>
      </c>
      <c r="B1094" s="123" t="s">
        <v>475</v>
      </c>
      <c r="C1094" s="123" t="s">
        <v>475</v>
      </c>
      <c r="D1094" s="50"/>
      <c r="E1094" s="89" t="s">
        <v>326</v>
      </c>
      <c r="F1094" s="124">
        <v>1</v>
      </c>
      <c r="G1094" s="125" t="s">
        <v>250</v>
      </c>
      <c r="H1094" s="33">
        <f t="shared" si="977"/>
        <v>0</v>
      </c>
      <c r="I1094" s="82">
        <f t="shared" si="978"/>
        <v>1</v>
      </c>
      <c r="J1094" s="34">
        <f t="shared" ref="J1094" si="984">IF(F1094=0,"",0)</f>
        <v>0</v>
      </c>
      <c r="K1094" s="35">
        <f t="shared" si="979"/>
        <v>0</v>
      </c>
      <c r="L1094" s="36">
        <f t="shared" si="980"/>
        <v>73.03</v>
      </c>
      <c r="M1094" s="37">
        <f t="shared" ref="M1094" si="985">IF(F1094=0,"",0)</f>
        <v>0</v>
      </c>
      <c r="N1094" s="37">
        <f t="shared" si="981"/>
        <v>0</v>
      </c>
      <c r="O1094" s="35">
        <f t="shared" si="982"/>
        <v>0</v>
      </c>
      <c r="P1094" s="38">
        <f t="shared" si="983"/>
        <v>0</v>
      </c>
      <c r="Q1094" s="2"/>
    </row>
    <row r="1095" spans="1:17" s="28" customFormat="1" ht="19.149999999999999" customHeight="1" x14ac:dyDescent="0.25">
      <c r="A1095" s="122" t="str">
        <f>IF(TRIM(G1095)&lt;&gt;"",COUNTA(G$9:$G1095)&amp;"","")</f>
        <v/>
      </c>
      <c r="B1095" s="49"/>
      <c r="C1095" s="49"/>
      <c r="D1095" s="50" t="s">
        <v>179</v>
      </c>
      <c r="E1095" s="156" t="s">
        <v>178</v>
      </c>
      <c r="F1095" s="124"/>
      <c r="G1095" s="125"/>
      <c r="H1095" s="33" t="str">
        <f t="shared" si="968"/>
        <v/>
      </c>
      <c r="I1095" s="82" t="str">
        <f t="shared" si="969"/>
        <v/>
      </c>
      <c r="J1095" s="34" t="str">
        <f t="shared" si="970"/>
        <v/>
      </c>
      <c r="K1095" s="35" t="str">
        <f t="shared" si="971"/>
        <v/>
      </c>
      <c r="L1095" s="36" t="str">
        <f>IF(F1095=0,"",L$963)</f>
        <v/>
      </c>
      <c r="M1095" s="37" t="str">
        <f t="shared" si="973"/>
        <v/>
      </c>
      <c r="N1095" s="37" t="str">
        <f t="shared" si="974"/>
        <v/>
      </c>
      <c r="O1095" s="35" t="str">
        <f t="shared" si="975"/>
        <v/>
      </c>
      <c r="P1095" s="38" t="str">
        <f t="shared" si="976"/>
        <v/>
      </c>
      <c r="Q1095" s="39"/>
    </row>
    <row r="1096" spans="1:17" x14ac:dyDescent="0.25">
      <c r="A1096" s="122" t="str">
        <f>IF(TRIM(G1096)&lt;&gt;"",COUNTA(G$9:$G1096)&amp;"","")</f>
        <v>872</v>
      </c>
      <c r="B1096" s="123" t="s">
        <v>478</v>
      </c>
      <c r="C1096" s="123" t="s">
        <v>478</v>
      </c>
      <c r="D1096" s="50"/>
      <c r="E1096" s="89" t="s">
        <v>730</v>
      </c>
      <c r="F1096" s="124">
        <f>994.77*4.25/27</f>
        <v>156.58416666666668</v>
      </c>
      <c r="G1096" s="125" t="s">
        <v>232</v>
      </c>
      <c r="H1096" s="33">
        <v>0.1</v>
      </c>
      <c r="I1096" s="82">
        <f t="shared" si="969"/>
        <v>172.24258333333336</v>
      </c>
      <c r="J1096" s="34">
        <v>30.8</v>
      </c>
      <c r="K1096" s="35">
        <f t="shared" si="971"/>
        <v>5305.0715666666674</v>
      </c>
      <c r="L1096" s="36">
        <f>IF(F1096=0,"",L$963)</f>
        <v>73.03</v>
      </c>
      <c r="M1096" s="37">
        <v>5.0999999999999997E-2</v>
      </c>
      <c r="N1096" s="37">
        <f t="shared" si="974"/>
        <v>8.78437175</v>
      </c>
      <c r="O1096" s="35">
        <f t="shared" si="975"/>
        <v>641.52266890249996</v>
      </c>
      <c r="P1096" s="38">
        <f t="shared" si="976"/>
        <v>5946.5942355691677</v>
      </c>
      <c r="Q1096" s="2"/>
    </row>
    <row r="1097" spans="1:17" x14ac:dyDescent="0.25">
      <c r="A1097" s="122" t="str">
        <f>IF(TRIM(G1097)&lt;&gt;"",COUNTA(G$9:$G1097)&amp;"","")</f>
        <v>873</v>
      </c>
      <c r="B1097" s="123" t="s">
        <v>478</v>
      </c>
      <c r="C1097" s="123" t="s">
        <v>478</v>
      </c>
      <c r="D1097" s="50"/>
      <c r="E1097" s="89" t="s">
        <v>731</v>
      </c>
      <c r="F1097" s="124">
        <f>1373.63*9.67/27</f>
        <v>491.96304074074078</v>
      </c>
      <c r="G1097" s="125" t="s">
        <v>232</v>
      </c>
      <c r="H1097" s="33">
        <v>0.1</v>
      </c>
      <c r="I1097" s="82">
        <f t="shared" si="969"/>
        <v>541.15934481481486</v>
      </c>
      <c r="J1097" s="34">
        <v>30.8</v>
      </c>
      <c r="K1097" s="35">
        <f t="shared" si="971"/>
        <v>16667.707820296298</v>
      </c>
      <c r="L1097" s="36">
        <f>IF(F1097=0,"",L$963)</f>
        <v>73.03</v>
      </c>
      <c r="M1097" s="37">
        <v>5.0999999999999997E-2</v>
      </c>
      <c r="N1097" s="37">
        <f t="shared" si="974"/>
        <v>27.599126585555556</v>
      </c>
      <c r="O1097" s="35">
        <f t="shared" si="975"/>
        <v>2015.5642145431223</v>
      </c>
      <c r="P1097" s="38">
        <f t="shared" si="976"/>
        <v>18683.272034839421</v>
      </c>
      <c r="Q1097" s="2"/>
    </row>
    <row r="1098" spans="1:17" x14ac:dyDescent="0.25">
      <c r="A1098" s="122" t="str">
        <f>IF(TRIM(G1098)&lt;&gt;"",COUNTA(G$9:$G1098)&amp;"","")</f>
        <v>874</v>
      </c>
      <c r="B1098" s="123" t="s">
        <v>478</v>
      </c>
      <c r="C1098" s="123" t="s">
        <v>478</v>
      </c>
      <c r="D1098" s="124"/>
      <c r="E1098" s="89" t="s">
        <v>304</v>
      </c>
      <c r="F1098" s="124">
        <v>43.5</v>
      </c>
      <c r="G1098" s="125" t="s">
        <v>228</v>
      </c>
      <c r="H1098" s="33">
        <v>0.1</v>
      </c>
      <c r="I1098" s="82">
        <f t="shared" si="969"/>
        <v>47.85</v>
      </c>
      <c r="J1098" s="34">
        <v>4.92</v>
      </c>
      <c r="K1098" s="35">
        <f t="shared" si="971"/>
        <v>235.422</v>
      </c>
      <c r="L1098" s="36">
        <f>IF(F1098=0,"",L$963)</f>
        <v>73.03</v>
      </c>
      <c r="M1098" s="37">
        <v>0.2</v>
      </c>
      <c r="N1098" s="37">
        <f t="shared" si="974"/>
        <v>9.57</v>
      </c>
      <c r="O1098" s="35">
        <f t="shared" si="975"/>
        <v>698.89710000000002</v>
      </c>
      <c r="P1098" s="38">
        <f t="shared" si="976"/>
        <v>934.31910000000005</v>
      </c>
      <c r="Q1098" s="2"/>
    </row>
    <row r="1099" spans="1:17" x14ac:dyDescent="0.25">
      <c r="A1099" s="122" t="str">
        <f>IF(TRIM(G1099)&lt;&gt;"",COUNTA(G$9:$G1099)&amp;"","")</f>
        <v>875</v>
      </c>
      <c r="B1099" s="123" t="s">
        <v>478</v>
      </c>
      <c r="C1099" s="123" t="s">
        <v>478</v>
      </c>
      <c r="D1099" s="124"/>
      <c r="E1099" s="89" t="s">
        <v>305</v>
      </c>
      <c r="F1099" s="124">
        <v>162.44</v>
      </c>
      <c r="G1099" s="125" t="s">
        <v>228</v>
      </c>
      <c r="H1099" s="33">
        <v>0.1</v>
      </c>
      <c r="I1099" s="82">
        <f t="shared" ref="I1099:I1101" si="986">IF(F1099=0,"",F1099+(F1099*H1099))</f>
        <v>178.684</v>
      </c>
      <c r="J1099" s="34">
        <v>9.65</v>
      </c>
      <c r="K1099" s="35">
        <f t="shared" ref="K1099:K1101" si="987">IF(F1099=0,"",J1099*I1099)</f>
        <v>1724.3006</v>
      </c>
      <c r="L1099" s="36">
        <f t="shared" ref="L1099:L1101" si="988">IF(F1099=0,"",L$963)</f>
        <v>73.03</v>
      </c>
      <c r="M1099" s="37">
        <v>0.2</v>
      </c>
      <c r="N1099" s="37">
        <f t="shared" ref="N1099:N1101" si="989">IF(F1099=0,"",M1099*I1099)</f>
        <v>35.736800000000002</v>
      </c>
      <c r="O1099" s="35">
        <f t="shared" ref="O1099:O1101" si="990">IF(F1099=0,"",N1099*L1099)</f>
        <v>2609.8585040000003</v>
      </c>
      <c r="P1099" s="38">
        <f t="shared" ref="P1099:P1101" si="991">IF(F1099=0,"",K1099+O1099)</f>
        <v>4334.1591040000003</v>
      </c>
      <c r="Q1099" s="2"/>
    </row>
    <row r="1100" spans="1:17" x14ac:dyDescent="0.25">
      <c r="A1100" s="122" t="str">
        <f>IF(TRIM(G1100)&lt;&gt;"",COUNTA(G$9:$G1100)&amp;"","")</f>
        <v>876</v>
      </c>
      <c r="B1100" s="123" t="s">
        <v>478</v>
      </c>
      <c r="C1100" s="123" t="s">
        <v>478</v>
      </c>
      <c r="D1100" s="124"/>
      <c r="E1100" s="89" t="s">
        <v>306</v>
      </c>
      <c r="F1100" s="124">
        <v>28.46</v>
      </c>
      <c r="G1100" s="125" t="s">
        <v>228</v>
      </c>
      <c r="H1100" s="33">
        <v>0.1</v>
      </c>
      <c r="I1100" s="82">
        <f t="shared" si="986"/>
        <v>31.306000000000001</v>
      </c>
      <c r="J1100" s="34">
        <v>16.91</v>
      </c>
      <c r="K1100" s="35">
        <f t="shared" si="987"/>
        <v>529.38445999999999</v>
      </c>
      <c r="L1100" s="36">
        <f t="shared" si="988"/>
        <v>73.03</v>
      </c>
      <c r="M1100" s="37">
        <v>0.3</v>
      </c>
      <c r="N1100" s="37">
        <f t="shared" si="989"/>
        <v>9.3917999999999999</v>
      </c>
      <c r="O1100" s="35">
        <f t="shared" si="990"/>
        <v>685.88315399999999</v>
      </c>
      <c r="P1100" s="38">
        <f t="shared" si="991"/>
        <v>1215.2676139999999</v>
      </c>
      <c r="Q1100" s="2"/>
    </row>
    <row r="1101" spans="1:17" x14ac:dyDescent="0.25">
      <c r="A1101" s="122" t="str">
        <f>IF(TRIM(G1101)&lt;&gt;"",COUNTA(G$9:$G1101)&amp;"","")</f>
        <v>877</v>
      </c>
      <c r="B1101" s="123" t="s">
        <v>478</v>
      </c>
      <c r="C1101" s="123" t="s">
        <v>478</v>
      </c>
      <c r="D1101" s="124"/>
      <c r="E1101" s="89" t="s">
        <v>307</v>
      </c>
      <c r="F1101" s="124">
        <v>231.43</v>
      </c>
      <c r="G1101" s="125" t="s">
        <v>228</v>
      </c>
      <c r="H1101" s="33">
        <v>0.1</v>
      </c>
      <c r="I1101" s="82">
        <f t="shared" si="986"/>
        <v>254.57300000000001</v>
      </c>
      <c r="J1101" s="34">
        <v>25.27</v>
      </c>
      <c r="K1101" s="35">
        <f t="shared" si="987"/>
        <v>6433.0597100000005</v>
      </c>
      <c r="L1101" s="36">
        <f t="shared" si="988"/>
        <v>73.03</v>
      </c>
      <c r="M1101" s="37">
        <v>0.5</v>
      </c>
      <c r="N1101" s="37">
        <f t="shared" si="989"/>
        <v>127.2865</v>
      </c>
      <c r="O1101" s="35">
        <f t="shared" si="990"/>
        <v>9295.7330949999996</v>
      </c>
      <c r="P1101" s="38">
        <f t="shared" si="991"/>
        <v>15728.792805000001</v>
      </c>
      <c r="Q1101" s="2"/>
    </row>
    <row r="1102" spans="1:17" x14ac:dyDescent="0.25">
      <c r="A1102" s="122" t="str">
        <f>IF(TRIM(G1102)&lt;&gt;"",COUNTA(G$9:$G1102)&amp;"","")</f>
        <v>878</v>
      </c>
      <c r="B1102" s="123" t="s">
        <v>478</v>
      </c>
      <c r="C1102" s="123" t="s">
        <v>478</v>
      </c>
      <c r="D1102" s="124"/>
      <c r="E1102" s="89" t="s">
        <v>309</v>
      </c>
      <c r="F1102" s="124">
        <v>34.840000000000003</v>
      </c>
      <c r="G1102" s="125" t="s">
        <v>228</v>
      </c>
      <c r="H1102" s="33">
        <v>0.1</v>
      </c>
      <c r="I1102" s="82">
        <f>IF(F1102=0,"",F1102+(F1102*H1102))</f>
        <v>38.324000000000005</v>
      </c>
      <c r="J1102" s="34">
        <v>35.840000000000003</v>
      </c>
      <c r="K1102" s="35">
        <f>IF(F1102=0,"",J1102*I1102)</f>
        <v>1373.5321600000002</v>
      </c>
      <c r="L1102" s="36">
        <f>IF(F1102=0,"",L$963)</f>
        <v>73.03</v>
      </c>
      <c r="M1102" s="37">
        <v>0.5</v>
      </c>
      <c r="N1102" s="37">
        <f>IF(F1102=0,"",M1102*I1102)</f>
        <v>19.162000000000003</v>
      </c>
      <c r="O1102" s="35">
        <f>IF(F1102=0,"",N1102*L1102)</f>
        <v>1399.4008600000002</v>
      </c>
      <c r="P1102" s="38">
        <f>IF(F1102=0,"",K1102+O1102)</f>
        <v>2772.9330200000004</v>
      </c>
      <c r="Q1102" s="2"/>
    </row>
    <row r="1103" spans="1:17" x14ac:dyDescent="0.25">
      <c r="A1103" s="122" t="str">
        <f>IF(TRIM(G1103)&lt;&gt;"",COUNTA(G$9:$G1103)&amp;"","")</f>
        <v>879</v>
      </c>
      <c r="B1103" s="123" t="s">
        <v>478</v>
      </c>
      <c r="C1103" s="123" t="s">
        <v>478</v>
      </c>
      <c r="D1103" s="124"/>
      <c r="E1103" s="89" t="s">
        <v>308</v>
      </c>
      <c r="F1103" s="124">
        <v>62.02</v>
      </c>
      <c r="G1103" s="125" t="s">
        <v>228</v>
      </c>
      <c r="H1103" s="33">
        <v>0.1</v>
      </c>
      <c r="I1103" s="82">
        <f t="shared" si="969"/>
        <v>68.222000000000008</v>
      </c>
      <c r="J1103" s="34">
        <v>94.66</v>
      </c>
      <c r="K1103" s="35">
        <f t="shared" si="971"/>
        <v>6457.8945200000007</v>
      </c>
      <c r="L1103" s="36">
        <f>IF(F1103=0,"",L$963)</f>
        <v>73.03</v>
      </c>
      <c r="M1103" s="37">
        <v>0.7</v>
      </c>
      <c r="N1103" s="37">
        <f t="shared" si="974"/>
        <v>47.755400000000002</v>
      </c>
      <c r="O1103" s="35">
        <f t="shared" si="975"/>
        <v>3487.5768620000003</v>
      </c>
      <c r="P1103" s="38">
        <f t="shared" si="976"/>
        <v>9945.4713820000015</v>
      </c>
      <c r="Q1103" s="2"/>
    </row>
    <row r="1104" spans="1:17" x14ac:dyDescent="0.25">
      <c r="A1104" s="122" t="str">
        <f>IF(TRIM(G1104)&lt;&gt;"",COUNTA(G$9:$G1104)&amp;"","")</f>
        <v>880</v>
      </c>
      <c r="B1104" s="123" t="s">
        <v>478</v>
      </c>
      <c r="C1104" s="123" t="s">
        <v>478</v>
      </c>
      <c r="D1104" s="124"/>
      <c r="E1104" s="89" t="s">
        <v>310</v>
      </c>
      <c r="F1104" s="124">
        <v>3</v>
      </c>
      <c r="G1104" s="125" t="s">
        <v>250</v>
      </c>
      <c r="H1104" s="33">
        <f t="shared" si="968"/>
        <v>0</v>
      </c>
      <c r="I1104" s="82">
        <f t="shared" si="969"/>
        <v>3</v>
      </c>
      <c r="J1104" s="34">
        <f t="shared" si="970"/>
        <v>0</v>
      </c>
      <c r="K1104" s="35">
        <f t="shared" si="971"/>
        <v>0</v>
      </c>
      <c r="L1104" s="36">
        <f>IF(F1104=0,"",L$963)</f>
        <v>73.03</v>
      </c>
      <c r="M1104" s="37">
        <f t="shared" si="973"/>
        <v>0</v>
      </c>
      <c r="N1104" s="37">
        <f t="shared" si="974"/>
        <v>0</v>
      </c>
      <c r="O1104" s="35">
        <f t="shared" si="975"/>
        <v>0</v>
      </c>
      <c r="P1104" s="38">
        <f t="shared" si="976"/>
        <v>0</v>
      </c>
      <c r="Q1104" s="2"/>
    </row>
    <row r="1105" spans="1:17" x14ac:dyDescent="0.25">
      <c r="A1105" s="122" t="str">
        <f>IF(TRIM(G1105)&lt;&gt;"",COUNTA(G$9:$G1105)&amp;"","")</f>
        <v>881</v>
      </c>
      <c r="B1105" s="123" t="s">
        <v>478</v>
      </c>
      <c r="C1105" s="123" t="s">
        <v>478</v>
      </c>
      <c r="D1105" s="124"/>
      <c r="E1105" s="89" t="s">
        <v>311</v>
      </c>
      <c r="F1105" s="124">
        <v>5</v>
      </c>
      <c r="G1105" s="125" t="s">
        <v>250</v>
      </c>
      <c r="H1105" s="33">
        <f t="shared" ref="H1105:H1107" si="992">IF(F1105=0,"",0)</f>
        <v>0</v>
      </c>
      <c r="I1105" s="82">
        <f t="shared" ref="I1105:I1107" si="993">IF(F1105=0,"",F1105+(F1105*H1105))</f>
        <v>5</v>
      </c>
      <c r="J1105" s="34">
        <f t="shared" ref="J1105:J1107" si="994">IF(F1105=0,"",0)</f>
        <v>0</v>
      </c>
      <c r="K1105" s="35">
        <f t="shared" ref="K1105:K1107" si="995">IF(F1105=0,"",J1105*I1105)</f>
        <v>0</v>
      </c>
      <c r="L1105" s="36">
        <f t="shared" ref="L1105:L1107" si="996">IF(F1105=0,"",L$963)</f>
        <v>73.03</v>
      </c>
      <c r="M1105" s="37">
        <f t="shared" ref="M1105:M1107" si="997">IF(F1105=0,"",0)</f>
        <v>0</v>
      </c>
      <c r="N1105" s="37">
        <f t="shared" ref="N1105:N1107" si="998">IF(F1105=0,"",M1105*I1105)</f>
        <v>0</v>
      </c>
      <c r="O1105" s="35">
        <f t="shared" ref="O1105:O1107" si="999">IF(F1105=0,"",N1105*L1105)</f>
        <v>0</v>
      </c>
      <c r="P1105" s="38">
        <f t="shared" ref="P1105:P1107" si="1000">IF(F1105=0,"",K1105+O1105)</f>
        <v>0</v>
      </c>
      <c r="Q1105" s="2"/>
    </row>
    <row r="1106" spans="1:17" x14ac:dyDescent="0.25">
      <c r="A1106" s="122" t="str">
        <f>IF(TRIM(G1106)&lt;&gt;"",COUNTA(G$9:$G1106)&amp;"","")</f>
        <v>882</v>
      </c>
      <c r="B1106" s="123" t="s">
        <v>478</v>
      </c>
      <c r="C1106" s="123" t="s">
        <v>478</v>
      </c>
      <c r="D1106" s="124"/>
      <c r="E1106" s="89" t="s">
        <v>312</v>
      </c>
      <c r="F1106" s="124">
        <v>2</v>
      </c>
      <c r="G1106" s="125" t="s">
        <v>250</v>
      </c>
      <c r="H1106" s="33">
        <f t="shared" si="992"/>
        <v>0</v>
      </c>
      <c r="I1106" s="82">
        <f t="shared" si="993"/>
        <v>2</v>
      </c>
      <c r="J1106" s="34">
        <f t="shared" si="994"/>
        <v>0</v>
      </c>
      <c r="K1106" s="35">
        <f t="shared" si="995"/>
        <v>0</v>
      </c>
      <c r="L1106" s="36">
        <f t="shared" si="996"/>
        <v>73.03</v>
      </c>
      <c r="M1106" s="37">
        <f t="shared" si="997"/>
        <v>0</v>
      </c>
      <c r="N1106" s="37">
        <f t="shared" si="998"/>
        <v>0</v>
      </c>
      <c r="O1106" s="35">
        <f t="shared" si="999"/>
        <v>0</v>
      </c>
      <c r="P1106" s="38">
        <f t="shared" si="1000"/>
        <v>0</v>
      </c>
      <c r="Q1106" s="2"/>
    </row>
    <row r="1107" spans="1:17" x14ac:dyDescent="0.25">
      <c r="A1107" s="122" t="str">
        <f>IF(TRIM(G1107)&lt;&gt;"",COUNTA(G$9:$G1107)&amp;"","")</f>
        <v>883</v>
      </c>
      <c r="B1107" s="123" t="s">
        <v>478</v>
      </c>
      <c r="C1107" s="123" t="s">
        <v>478</v>
      </c>
      <c r="D1107" s="124"/>
      <c r="E1107" s="89" t="s">
        <v>313</v>
      </c>
      <c r="F1107" s="124">
        <v>3</v>
      </c>
      <c r="G1107" s="125" t="s">
        <v>250</v>
      </c>
      <c r="H1107" s="33">
        <f t="shared" si="992"/>
        <v>0</v>
      </c>
      <c r="I1107" s="82">
        <f t="shared" si="993"/>
        <v>3</v>
      </c>
      <c r="J1107" s="34">
        <f t="shared" si="994"/>
        <v>0</v>
      </c>
      <c r="K1107" s="35">
        <f t="shared" si="995"/>
        <v>0</v>
      </c>
      <c r="L1107" s="36">
        <f t="shared" si="996"/>
        <v>73.03</v>
      </c>
      <c r="M1107" s="37">
        <f t="shared" si="997"/>
        <v>0</v>
      </c>
      <c r="N1107" s="37">
        <f t="shared" si="998"/>
        <v>0</v>
      </c>
      <c r="O1107" s="35">
        <f t="shared" si="999"/>
        <v>0</v>
      </c>
      <c r="P1107" s="38">
        <f t="shared" si="1000"/>
        <v>0</v>
      </c>
      <c r="Q1107" s="2"/>
    </row>
    <row r="1108" spans="1:17" x14ac:dyDescent="0.25">
      <c r="A1108" s="122" t="str">
        <f>IF(TRIM(G1108)&lt;&gt;"",COUNTA(G$9:$G1108)&amp;"","")</f>
        <v>884</v>
      </c>
      <c r="B1108" s="123" t="s">
        <v>478</v>
      </c>
      <c r="C1108" s="123" t="s">
        <v>478</v>
      </c>
      <c r="D1108" s="124"/>
      <c r="E1108" s="89" t="s">
        <v>314</v>
      </c>
      <c r="F1108" s="124">
        <v>2</v>
      </c>
      <c r="G1108" s="125" t="s">
        <v>250</v>
      </c>
      <c r="H1108" s="33">
        <f t="shared" si="968"/>
        <v>0</v>
      </c>
      <c r="I1108" s="82">
        <f t="shared" si="969"/>
        <v>2</v>
      </c>
      <c r="J1108" s="34">
        <f t="shared" si="970"/>
        <v>0</v>
      </c>
      <c r="K1108" s="35">
        <f t="shared" si="971"/>
        <v>0</v>
      </c>
      <c r="L1108" s="36">
        <f>IF(F1108=0,"",L$963)</f>
        <v>73.03</v>
      </c>
      <c r="M1108" s="37">
        <f t="shared" si="973"/>
        <v>0</v>
      </c>
      <c r="N1108" s="37">
        <f t="shared" si="974"/>
        <v>0</v>
      </c>
      <c r="O1108" s="35">
        <f t="shared" si="975"/>
        <v>0</v>
      </c>
      <c r="P1108" s="38">
        <f t="shared" si="976"/>
        <v>0</v>
      </c>
      <c r="Q1108" s="2"/>
    </row>
    <row r="1109" spans="1:17" x14ac:dyDescent="0.25">
      <c r="A1109" s="122" t="str">
        <f>IF(TRIM(G1109)&lt;&gt;"",COUNTA(G$9:$G1109)&amp;"","")</f>
        <v>885</v>
      </c>
      <c r="B1109" s="123" t="s">
        <v>478</v>
      </c>
      <c r="C1109" s="123" t="s">
        <v>478</v>
      </c>
      <c r="D1109" s="124"/>
      <c r="E1109" s="89" t="s">
        <v>315</v>
      </c>
      <c r="F1109" s="124">
        <v>5</v>
      </c>
      <c r="G1109" s="125" t="s">
        <v>250</v>
      </c>
      <c r="H1109" s="33">
        <f t="shared" si="968"/>
        <v>0</v>
      </c>
      <c r="I1109" s="82">
        <f t="shared" si="969"/>
        <v>5</v>
      </c>
      <c r="J1109" s="34">
        <v>682.5</v>
      </c>
      <c r="K1109" s="35">
        <f t="shared" si="971"/>
        <v>3412.5</v>
      </c>
      <c r="L1109" s="36">
        <f>IF(F1109=0,"",L$963)</f>
        <v>73.03</v>
      </c>
      <c r="M1109" s="37">
        <v>4</v>
      </c>
      <c r="N1109" s="37">
        <f t="shared" si="974"/>
        <v>20</v>
      </c>
      <c r="O1109" s="35">
        <f t="shared" si="975"/>
        <v>1460.6</v>
      </c>
      <c r="P1109" s="38">
        <f t="shared" si="976"/>
        <v>4873.1000000000004</v>
      </c>
      <c r="Q1109" s="2"/>
    </row>
    <row r="1110" spans="1:17" x14ac:dyDescent="0.25">
      <c r="A1110" s="122" t="str">
        <f>IF(TRIM(G1110)&lt;&gt;"",COUNTA(G$9:$G1110)&amp;"","")</f>
        <v>886</v>
      </c>
      <c r="B1110" s="123" t="s">
        <v>478</v>
      </c>
      <c r="C1110" s="123" t="s">
        <v>478</v>
      </c>
      <c r="D1110" s="50"/>
      <c r="E1110" s="89" t="s">
        <v>316</v>
      </c>
      <c r="F1110" s="124">
        <v>2</v>
      </c>
      <c r="G1110" s="125" t="s">
        <v>250</v>
      </c>
      <c r="H1110" s="33">
        <f t="shared" si="968"/>
        <v>0</v>
      </c>
      <c r="I1110" s="82">
        <f t="shared" si="969"/>
        <v>2</v>
      </c>
      <c r="J1110" s="34">
        <f t="shared" si="970"/>
        <v>0</v>
      </c>
      <c r="K1110" s="35">
        <f t="shared" si="971"/>
        <v>0</v>
      </c>
      <c r="L1110" s="36">
        <f>IF(F1110=0,"",L$963)</f>
        <v>73.03</v>
      </c>
      <c r="M1110" s="37">
        <f t="shared" si="973"/>
        <v>0</v>
      </c>
      <c r="N1110" s="37">
        <f t="shared" si="974"/>
        <v>0</v>
      </c>
      <c r="O1110" s="35">
        <f t="shared" si="975"/>
        <v>0</v>
      </c>
      <c r="P1110" s="38">
        <f t="shared" si="976"/>
        <v>0</v>
      </c>
      <c r="Q1110" s="2"/>
    </row>
    <row r="1111" spans="1:17" ht="30" x14ac:dyDescent="0.25">
      <c r="A1111" s="122" t="str">
        <f>IF(TRIM(G1111)&lt;&gt;"",COUNTA(G$9:$G1111)&amp;"","")</f>
        <v>887</v>
      </c>
      <c r="B1111" s="123" t="s">
        <v>478</v>
      </c>
      <c r="C1111" s="123" t="s">
        <v>478</v>
      </c>
      <c r="D1111" s="50"/>
      <c r="E1111" s="89" t="s">
        <v>317</v>
      </c>
      <c r="F1111" s="124">
        <v>1</v>
      </c>
      <c r="G1111" s="125" t="s">
        <v>250</v>
      </c>
      <c r="H1111" s="33">
        <f t="shared" ref="H1111:H1112" si="1001">IF(F1111=0,"",0)</f>
        <v>0</v>
      </c>
      <c r="I1111" s="82">
        <f t="shared" ref="I1111:I1112" si="1002">IF(F1111=0,"",F1111+(F1111*H1111))</f>
        <v>1</v>
      </c>
      <c r="J1111" s="34">
        <v>2625</v>
      </c>
      <c r="K1111" s="35">
        <f t="shared" ref="K1111:K1112" si="1003">IF(F1111=0,"",J1111*I1111)</f>
        <v>2625</v>
      </c>
      <c r="L1111" s="36">
        <f t="shared" ref="L1111:L1112" si="1004">IF(F1111=0,"",L$963)</f>
        <v>73.03</v>
      </c>
      <c r="M1111" s="37">
        <v>8</v>
      </c>
      <c r="N1111" s="37">
        <f t="shared" ref="N1111:N1112" si="1005">IF(F1111=0,"",M1111*I1111)</f>
        <v>8</v>
      </c>
      <c r="O1111" s="35">
        <f t="shared" ref="O1111:O1112" si="1006">IF(F1111=0,"",N1111*L1111)</f>
        <v>584.24</v>
      </c>
      <c r="P1111" s="38">
        <f t="shared" ref="P1111:P1112" si="1007">IF(F1111=0,"",K1111+O1111)</f>
        <v>3209.24</v>
      </c>
      <c r="Q1111" s="2"/>
    </row>
    <row r="1112" spans="1:17" ht="30" x14ac:dyDescent="0.25">
      <c r="A1112" s="122" t="str">
        <f>IF(TRIM(G1112)&lt;&gt;"",COUNTA(G$9:$G1112)&amp;"","")</f>
        <v>888</v>
      </c>
      <c r="B1112" s="123" t="s">
        <v>478</v>
      </c>
      <c r="C1112" s="123" t="s">
        <v>478</v>
      </c>
      <c r="D1112" s="50"/>
      <c r="E1112" s="89" t="s">
        <v>318</v>
      </c>
      <c r="F1112" s="124">
        <v>1</v>
      </c>
      <c r="G1112" s="125" t="s">
        <v>250</v>
      </c>
      <c r="H1112" s="33">
        <f t="shared" si="1001"/>
        <v>0</v>
      </c>
      <c r="I1112" s="82">
        <f t="shared" si="1002"/>
        <v>1</v>
      </c>
      <c r="J1112" s="34">
        <v>2625</v>
      </c>
      <c r="K1112" s="35">
        <f t="shared" si="1003"/>
        <v>2625</v>
      </c>
      <c r="L1112" s="36">
        <f t="shared" si="1004"/>
        <v>73.03</v>
      </c>
      <c r="M1112" s="37">
        <v>8</v>
      </c>
      <c r="N1112" s="37">
        <f t="shared" si="1005"/>
        <v>8</v>
      </c>
      <c r="O1112" s="35">
        <f t="shared" si="1006"/>
        <v>584.24</v>
      </c>
      <c r="P1112" s="38">
        <f t="shared" si="1007"/>
        <v>3209.24</v>
      </c>
      <c r="Q1112" s="2"/>
    </row>
    <row r="1113" spans="1:17" ht="15.75" thickBot="1" x14ac:dyDescent="0.3">
      <c r="A1113" s="122" t="str">
        <f>IF(TRIM(G1113)&lt;&gt;"",COUNTA(G$9:$G1113)&amp;"","")</f>
        <v/>
      </c>
      <c r="B1113" s="126"/>
      <c r="C1113" s="126"/>
      <c r="D1113" s="50"/>
      <c r="E1113" s="127"/>
      <c r="F1113" s="124"/>
      <c r="G1113" s="125"/>
      <c r="H1113" s="33" t="str">
        <f t="shared" si="968"/>
        <v/>
      </c>
      <c r="I1113" s="82" t="str">
        <f t="shared" si="969"/>
        <v/>
      </c>
      <c r="J1113" s="34" t="str">
        <f t="shared" si="970"/>
        <v/>
      </c>
      <c r="K1113" s="35" t="str">
        <f t="shared" si="971"/>
        <v/>
      </c>
      <c r="L1113" s="36" t="str">
        <f>IF(F1113=0,"",L$963)</f>
        <v/>
      </c>
      <c r="M1113" s="37" t="str">
        <f t="shared" si="973"/>
        <v/>
      </c>
      <c r="N1113" s="37" t="str">
        <f t="shared" si="974"/>
        <v/>
      </c>
      <c r="O1113" s="35" t="str">
        <f t="shared" si="975"/>
        <v/>
      </c>
      <c r="P1113" s="38" t="str">
        <f t="shared" si="976"/>
        <v/>
      </c>
      <c r="Q1113" s="2"/>
    </row>
    <row r="1114" spans="1:17" s="3" customFormat="1" ht="16.5" thickBot="1" x14ac:dyDescent="0.3">
      <c r="A1114" s="122" t="str">
        <f>IF(TRIM(G1114)&lt;&gt;"",COUNTA(G$9:$G1114)&amp;"","")</f>
        <v/>
      </c>
      <c r="B1114" s="1"/>
      <c r="C1114" s="1"/>
      <c r="D1114" s="30"/>
      <c r="E1114" s="29"/>
      <c r="F1114" s="80"/>
      <c r="G1114" s="81"/>
      <c r="H1114" s="151" t="s">
        <v>12</v>
      </c>
      <c r="I1114" s="152"/>
      <c r="J1114" s="68">
        <f>SUM(K$1074:K$1113)</f>
        <v>123907.04341696299</v>
      </c>
      <c r="K1114" s="390" t="s">
        <v>13</v>
      </c>
      <c r="L1114" s="391"/>
      <c r="M1114" s="69">
        <f>SUM(O$1074:O$1113)</f>
        <v>68767.262148045644</v>
      </c>
      <c r="N1114" s="390" t="s">
        <v>43</v>
      </c>
      <c r="O1114" s="391"/>
      <c r="P1114" s="70">
        <f>SUM(N$1074:N$1113)</f>
        <v>941.63031833555567</v>
      </c>
      <c r="Q1114" s="71">
        <f>SUM(P$1074:P$1113)</f>
        <v>192674.30556500857</v>
      </c>
    </row>
    <row r="1115" spans="1:17" ht="15.75" thickBot="1" x14ac:dyDescent="0.3">
      <c r="A1115" s="122" t="str">
        <f>IF(TRIM(G1115)&lt;&gt;"",COUNTA(G$9:$G1115)&amp;"","")</f>
        <v/>
      </c>
      <c r="B1115" s="126"/>
      <c r="C1115" s="126"/>
      <c r="D1115" s="130"/>
      <c r="E1115" s="127"/>
      <c r="F1115" s="124"/>
      <c r="G1115" s="125"/>
      <c r="H1115" s="33" t="str">
        <f>IF(F1115=0,"",0)</f>
        <v/>
      </c>
      <c r="I1115" s="82" t="str">
        <f t="shared" ref="I1115" si="1008">IF(F1115=0,"",F1115+(F1115*H1115))</f>
        <v/>
      </c>
      <c r="J1115" s="34" t="str">
        <f>IF(F1115=0,"",0)</f>
        <v/>
      </c>
      <c r="K1115" s="35" t="str">
        <f>IF(F1115=0,"",J1115*I1115)</f>
        <v/>
      </c>
      <c r="L1115" s="36" t="str">
        <f>IF(F1115=0,"",#REF!)</f>
        <v/>
      </c>
      <c r="M1115" s="37" t="str">
        <f>IF(F1115=0,"",0)</f>
        <v/>
      </c>
      <c r="N1115" s="37" t="str">
        <f>IF(F1115=0,"",M1115*I1115)</f>
        <v/>
      </c>
      <c r="O1115" s="35" t="str">
        <f>IF(F1115=0,"",N1115*L1115)</f>
        <v/>
      </c>
      <c r="P1115" s="38" t="str">
        <f>IF(F1115=0,"",K1115+O1115)</f>
        <v/>
      </c>
      <c r="Q1115" s="39"/>
    </row>
    <row r="1116" spans="1:17" s="3" customFormat="1" ht="16.5" thickBot="1" x14ac:dyDescent="0.3">
      <c r="A1116" s="122" t="str">
        <f>IF(TRIM(G1116)&lt;&gt;"",COUNTA(G$9:$G1116)&amp;"","")</f>
        <v/>
      </c>
      <c r="B1116" s="1"/>
      <c r="C1116" s="1"/>
      <c r="D1116" s="30"/>
      <c r="E1116" s="29"/>
      <c r="F1116" s="80"/>
      <c r="G1116" s="81"/>
      <c r="H1116" s="392" t="s">
        <v>225</v>
      </c>
      <c r="I1116" s="393"/>
      <c r="J1116" s="137">
        <f>SUM(K$9:K$1115)</f>
        <v>1178635.9691188936</v>
      </c>
      <c r="K1116" s="398" t="s">
        <v>226</v>
      </c>
      <c r="L1116" s="399"/>
      <c r="M1116" s="374">
        <f>SUM(O$9:O$1115)</f>
        <v>1132155.4142635241</v>
      </c>
      <c r="N1116" s="398" t="s">
        <v>227</v>
      </c>
      <c r="O1116" s="399"/>
      <c r="P1116" s="138">
        <f>SUM(N$9:N$1115)</f>
        <v>15186.531271429443</v>
      </c>
      <c r="Q1116" s="139">
        <f>SUM(Q$8:Q$1115)</f>
        <v>2310791.3833824177</v>
      </c>
    </row>
    <row r="1117" spans="1:17" ht="15.75" thickBot="1" x14ac:dyDescent="0.3">
      <c r="A1117" s="122" t="str">
        <f>IF(TRIM(G1117)&lt;&gt;"",COUNTA(G$9:$G1117)&amp;"","")</f>
        <v/>
      </c>
      <c r="B1117" s="123"/>
      <c r="C1117" s="123"/>
      <c r="D1117" s="128"/>
      <c r="E1117" s="111"/>
      <c r="F1117" s="124"/>
      <c r="G1117" s="125"/>
      <c r="H1117" s="33" t="str">
        <f>IF(F1117=0,"",0)</f>
        <v/>
      </c>
      <c r="I1117" s="82" t="str">
        <f t="shared" ref="I1117" si="1009">IF(F1117=0,"",F1117+(F1117*H1117))</f>
        <v/>
      </c>
      <c r="J1117" s="34" t="str">
        <f>IF(F1117=0,"",0)</f>
        <v/>
      </c>
      <c r="K1117" s="35" t="str">
        <f>IF(F1117=0,"",J1117*I1117)</f>
        <v/>
      </c>
      <c r="L1117" s="36" t="str">
        <f>IF(F1117=0,"",#REF!)</f>
        <v/>
      </c>
      <c r="M1117" s="37" t="str">
        <f>IF(F1117=0,"",0)</f>
        <v/>
      </c>
      <c r="N1117" s="37" t="str">
        <f>IF(F1117=0,"",M1117*I1117)</f>
        <v/>
      </c>
      <c r="O1117" s="35" t="str">
        <f>IF(F1117=0,"",N1117*L1117)</f>
        <v/>
      </c>
      <c r="P1117" s="38" t="str">
        <f>IF(F1117=0,"",K1117+O1117)</f>
        <v/>
      </c>
      <c r="Q1117" s="39"/>
    </row>
    <row r="1118" spans="1:17" ht="20.100000000000001" customHeight="1" thickBot="1" x14ac:dyDescent="0.3">
      <c r="A1118" s="400" t="s">
        <v>25</v>
      </c>
      <c r="B1118" s="401"/>
      <c r="C1118" s="401"/>
      <c r="D1118" s="401"/>
      <c r="E1118" s="401"/>
      <c r="F1118" s="401"/>
      <c r="G1118" s="401"/>
      <c r="H1118" s="401"/>
      <c r="I1118" s="401"/>
      <c r="J1118" s="401"/>
      <c r="K1118" s="401"/>
      <c r="L1118" s="401"/>
      <c r="M1118" s="401"/>
      <c r="N1118" s="401"/>
      <c r="O1118" s="401"/>
      <c r="P1118" s="402"/>
      <c r="Q1118" s="158">
        <f>SUM(K$9:$K$1117)</f>
        <v>1178635.9691188936</v>
      </c>
    </row>
    <row r="1119" spans="1:17" ht="20.100000000000001" customHeight="1" thickBot="1" x14ac:dyDescent="0.3">
      <c r="A1119" s="400" t="s">
        <v>26</v>
      </c>
      <c r="B1119" s="401"/>
      <c r="C1119" s="401"/>
      <c r="D1119" s="401"/>
      <c r="E1119" s="401"/>
      <c r="F1119" s="401"/>
      <c r="G1119" s="401"/>
      <c r="H1119" s="401"/>
      <c r="I1119" s="401"/>
      <c r="J1119" s="401"/>
      <c r="K1119" s="401"/>
      <c r="L1119" s="401"/>
      <c r="M1119" s="401"/>
      <c r="N1119" s="401"/>
      <c r="O1119" s="401"/>
      <c r="P1119" s="402"/>
      <c r="Q1119" s="158">
        <f>SUM(O$9:O$1117)</f>
        <v>1132155.4142635241</v>
      </c>
    </row>
    <row r="1120" spans="1:17" ht="20.100000000000001" customHeight="1" thickBot="1" x14ac:dyDescent="0.3">
      <c r="A1120" s="400" t="s">
        <v>218</v>
      </c>
      <c r="B1120" s="401"/>
      <c r="C1120" s="401"/>
      <c r="D1120" s="401"/>
      <c r="E1120" s="401"/>
      <c r="F1120" s="401"/>
      <c r="G1120" s="401"/>
      <c r="H1120" s="401"/>
      <c r="I1120" s="401"/>
      <c r="J1120" s="401"/>
      <c r="K1120" s="401"/>
      <c r="L1120" s="401"/>
      <c r="M1120" s="401"/>
      <c r="N1120" s="401"/>
      <c r="O1120" s="401"/>
      <c r="P1120" s="402"/>
      <c r="Q1120" s="159">
        <f>SUM(N$9:N$1117)</f>
        <v>15186.531271429443</v>
      </c>
    </row>
    <row r="1121" spans="1:17" ht="18.75" x14ac:dyDescent="0.25">
      <c r="A1121" s="131"/>
      <c r="B1121" s="55" t="s">
        <v>180</v>
      </c>
      <c r="C1121" s="160"/>
      <c r="D1121" s="161"/>
      <c r="E1121" s="55"/>
      <c r="F1121" s="56"/>
      <c r="G1121" s="56"/>
      <c r="H1121" s="56"/>
      <c r="I1121" s="56"/>
      <c r="J1121" s="56"/>
      <c r="K1121" s="56"/>
      <c r="L1121" s="56"/>
      <c r="M1121" s="56"/>
      <c r="N1121" s="56"/>
      <c r="O1121" s="56"/>
      <c r="P1121" s="56"/>
      <c r="Q1121" s="57"/>
    </row>
    <row r="1122" spans="1:17" s="72" customFormat="1" ht="18" customHeight="1" x14ac:dyDescent="0.25">
      <c r="A1122" s="192">
        <v>1</v>
      </c>
      <c r="B1122" s="396" t="s">
        <v>238</v>
      </c>
      <c r="C1122" s="396"/>
      <c r="D1122" s="396"/>
      <c r="E1122" s="396"/>
      <c r="F1122" s="190"/>
      <c r="G1122" s="190"/>
      <c r="H1122" s="190"/>
      <c r="I1122" s="190"/>
      <c r="J1122" s="190"/>
      <c r="K1122" s="190"/>
      <c r="L1122" s="190"/>
      <c r="M1122" s="190"/>
      <c r="N1122" s="190"/>
      <c r="O1122" s="190"/>
      <c r="P1122" s="190"/>
      <c r="Q1122" s="191"/>
    </row>
    <row r="1123" spans="1:17" s="72" customFormat="1" ht="18" customHeight="1" x14ac:dyDescent="0.25">
      <c r="A1123" s="192">
        <v>2</v>
      </c>
      <c r="B1123" s="396" t="s">
        <v>242</v>
      </c>
      <c r="C1123" s="396"/>
      <c r="D1123" s="396"/>
      <c r="E1123" s="396"/>
      <c r="F1123" s="396"/>
      <c r="G1123" s="396"/>
      <c r="H1123" s="396"/>
      <c r="I1123" s="396"/>
      <c r="J1123" s="396"/>
      <c r="K1123" s="396"/>
      <c r="L1123" s="396"/>
      <c r="M1123" s="396"/>
      <c r="N1123" s="396"/>
      <c r="O1123" s="396"/>
      <c r="P1123" s="396"/>
      <c r="Q1123" s="397"/>
    </row>
    <row r="1124" spans="1:17" s="72" customFormat="1" ht="18" customHeight="1" x14ac:dyDescent="0.25">
      <c r="A1124" s="192">
        <v>3</v>
      </c>
      <c r="B1124" s="396" t="s">
        <v>182</v>
      </c>
      <c r="C1124" s="396"/>
      <c r="D1124" s="396"/>
      <c r="E1124" s="396"/>
      <c r="F1124" s="396"/>
      <c r="G1124" s="396"/>
      <c r="H1124" s="396"/>
      <c r="I1124" s="396"/>
      <c r="J1124" s="396"/>
      <c r="K1124" s="396"/>
      <c r="L1124" s="396"/>
      <c r="M1124" s="396"/>
      <c r="N1124" s="396"/>
      <c r="O1124" s="396"/>
      <c r="P1124" s="396"/>
      <c r="Q1124" s="397"/>
    </row>
    <row r="1125" spans="1:17" s="72" customFormat="1" ht="18" customHeight="1" x14ac:dyDescent="0.25">
      <c r="A1125" s="192">
        <v>4</v>
      </c>
      <c r="B1125" s="396" t="s">
        <v>239</v>
      </c>
      <c r="C1125" s="396"/>
      <c r="D1125" s="396"/>
      <c r="E1125" s="396"/>
      <c r="F1125" s="396"/>
      <c r="G1125" s="396"/>
      <c r="H1125" s="396"/>
      <c r="I1125" s="396"/>
      <c r="J1125" s="396"/>
      <c r="K1125" s="396"/>
      <c r="L1125" s="396"/>
      <c r="M1125" s="396"/>
      <c r="N1125" s="396"/>
      <c r="O1125" s="396"/>
      <c r="P1125" s="396"/>
      <c r="Q1125" s="397"/>
    </row>
    <row r="1126" spans="1:17" ht="21.75" thickBot="1" x14ac:dyDescent="0.3">
      <c r="A1126" s="58"/>
      <c r="B1126" s="59"/>
      <c r="C1126" s="59"/>
      <c r="D1126" s="60"/>
      <c r="E1126" s="394"/>
      <c r="F1126" s="394"/>
      <c r="G1126" s="394"/>
      <c r="H1126" s="394"/>
      <c r="I1126" s="394"/>
      <c r="J1126" s="394"/>
      <c r="K1126" s="394"/>
      <c r="L1126" s="394"/>
      <c r="M1126" s="394"/>
      <c r="N1126" s="394"/>
      <c r="O1126" s="394"/>
      <c r="P1126" s="394"/>
      <c r="Q1126" s="395"/>
    </row>
  </sheetData>
  <autoFilter ref="A6:Q1125" xr:uid="{00000000-0001-0000-0100-000000000000}"/>
  <mergeCells count="65">
    <mergeCell ref="O1:Q1"/>
    <mergeCell ref="O2:Q2"/>
    <mergeCell ref="O3:Q3"/>
    <mergeCell ref="O4:Q4"/>
    <mergeCell ref="M3:N3"/>
    <mergeCell ref="K508:L508"/>
    <mergeCell ref="N508:O508"/>
    <mergeCell ref="K210:L210"/>
    <mergeCell ref="N210:O210"/>
    <mergeCell ref="N529:O529"/>
    <mergeCell ref="K529:L529"/>
    <mergeCell ref="O5:Q5"/>
    <mergeCell ref="M5:N5"/>
    <mergeCell ref="N13:O13"/>
    <mergeCell ref="K13:L13"/>
    <mergeCell ref="K257:L257"/>
    <mergeCell ref="N76:O76"/>
    <mergeCell ref="K169:L169"/>
    <mergeCell ref="N169:O169"/>
    <mergeCell ref="K84:L84"/>
    <mergeCell ref="N84:O84"/>
    <mergeCell ref="N257:O257"/>
    <mergeCell ref="N29:O29"/>
    <mergeCell ref="K76:L76"/>
    <mergeCell ref="K29:L29"/>
    <mergeCell ref="K990:L990"/>
    <mergeCell ref="N990:O990"/>
    <mergeCell ref="K962:L962"/>
    <mergeCell ref="N962:O962"/>
    <mergeCell ref="K582:L582"/>
    <mergeCell ref="K635:L635"/>
    <mergeCell ref="K954:L954"/>
    <mergeCell ref="N954:O954"/>
    <mergeCell ref="K847:L847"/>
    <mergeCell ref="N847:O847"/>
    <mergeCell ref="N635:O635"/>
    <mergeCell ref="K577:L577"/>
    <mergeCell ref="N582:O582"/>
    <mergeCell ref="N577:O577"/>
    <mergeCell ref="K535:L535"/>
    <mergeCell ref="N535:O535"/>
    <mergeCell ref="E2:L2"/>
    <mergeCell ref="M1:N1"/>
    <mergeCell ref="E1:L1"/>
    <mergeCell ref="M2:N2"/>
    <mergeCell ref="M4:N4"/>
    <mergeCell ref="F5:L5"/>
    <mergeCell ref="F3:L3"/>
    <mergeCell ref="F4:L4"/>
    <mergeCell ref="A1:D5"/>
    <mergeCell ref="E1126:Q1126"/>
    <mergeCell ref="B1125:Q1125"/>
    <mergeCell ref="K1116:L1116"/>
    <mergeCell ref="N1116:O1116"/>
    <mergeCell ref="B1122:E1122"/>
    <mergeCell ref="B1123:Q1123"/>
    <mergeCell ref="B1124:Q1124"/>
    <mergeCell ref="A1118:P1118"/>
    <mergeCell ref="A1119:P1119"/>
    <mergeCell ref="A1120:P1120"/>
    <mergeCell ref="N1114:O1114"/>
    <mergeCell ref="H1116:I1116"/>
    <mergeCell ref="K1114:L1114"/>
    <mergeCell ref="K1072:L1072"/>
    <mergeCell ref="N1072:O1072"/>
  </mergeCells>
  <phoneticPr fontId="9" type="noConversion"/>
  <printOptions horizontalCentered="1"/>
  <pageMargins left="0.7" right="0.7" top="0.75" bottom="0.75" header="0.3" footer="0.3"/>
  <pageSetup paperSize="9" scale="3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02F8-899C-4066-A63F-4B56B877C141}">
  <sheetPr>
    <tabColor rgb="FFFFFF00"/>
    <pageSetUpPr fitToPage="1"/>
  </sheetPr>
  <dimension ref="A1:S219"/>
  <sheetViews>
    <sheetView view="pageBreakPreview" zoomScale="85" zoomScaleNormal="85" zoomScaleSheetLayoutView="85" workbookViewId="0">
      <pane ySplit="3" topLeftCell="A4" activePane="bottomLeft" state="frozen"/>
      <selection pane="bottomLeft" activeCell="D1" sqref="D1:K1"/>
    </sheetView>
  </sheetViews>
  <sheetFormatPr defaultColWidth="8.85546875" defaultRowHeight="15" x14ac:dyDescent="0.25"/>
  <cols>
    <col min="1" max="1" width="4.42578125" style="243" bestFit="1" customWidth="1"/>
    <col min="2" max="2" width="11.85546875" style="353" bestFit="1" customWidth="1"/>
    <col min="3" max="3" width="12.7109375" style="243" customWidth="1"/>
    <col min="4" max="4" width="80.7109375" style="243" customWidth="1"/>
    <col min="5" max="5" width="10.7109375" style="352" customWidth="1"/>
    <col min="6" max="6" width="10.7109375" style="353" customWidth="1"/>
    <col min="7" max="8" width="11.7109375" style="352" customWidth="1"/>
    <col min="9" max="9" width="15.140625" style="355" bestFit="1" customWidth="1"/>
    <col min="10" max="11" width="12.7109375" style="355" customWidth="1"/>
    <col min="12" max="12" width="14.140625" style="365" bestFit="1" customWidth="1"/>
    <col min="13" max="13" width="13.5703125" style="365" customWidth="1"/>
    <col min="14" max="14" width="12.7109375" style="355" customWidth="1"/>
    <col min="15" max="15" width="12.7109375" style="362" customWidth="1"/>
    <col min="16" max="16" width="15.28515625" style="4" customWidth="1"/>
    <col min="17" max="17" width="12.28515625" style="243" bestFit="1" customWidth="1"/>
    <col min="18" max="18" width="8.85546875" style="243"/>
    <col min="19" max="19" width="14.5703125" style="243" bestFit="1" customWidth="1"/>
    <col min="20" max="16384" width="8.85546875" style="243"/>
  </cols>
  <sheetData>
    <row r="1" spans="1:16" ht="68.45" customHeight="1" thickBot="1" x14ac:dyDescent="0.3">
      <c r="A1" s="403"/>
      <c r="B1" s="404"/>
      <c r="C1" s="414"/>
      <c r="D1" s="403" t="s">
        <v>1241</v>
      </c>
      <c r="E1" s="404"/>
      <c r="F1" s="404"/>
      <c r="G1" s="404"/>
      <c r="H1" s="404"/>
      <c r="I1" s="404"/>
      <c r="J1" s="404"/>
      <c r="K1" s="414"/>
      <c r="L1" s="425" t="s">
        <v>1075</v>
      </c>
      <c r="M1" s="426"/>
      <c r="N1" s="427">
        <f>'Bid Recap &amp; Summary'!L23</f>
        <v>231307.97769182484</v>
      </c>
      <c r="O1" s="426"/>
      <c r="P1" s="242"/>
    </row>
    <row r="2" spans="1:16" ht="27.75" customHeight="1" thickBot="1" x14ac:dyDescent="0.3">
      <c r="A2" s="403"/>
      <c r="B2" s="404"/>
      <c r="C2" s="404"/>
      <c r="D2" s="404"/>
      <c r="E2" s="414"/>
      <c r="F2" s="428"/>
      <c r="G2" s="429"/>
      <c r="H2" s="429"/>
      <c r="I2" s="429"/>
      <c r="J2" s="430"/>
      <c r="K2" s="428"/>
      <c r="L2" s="429"/>
      <c r="M2" s="429"/>
      <c r="N2" s="429"/>
      <c r="O2" s="430"/>
      <c r="P2" s="242"/>
    </row>
    <row r="3" spans="1:16" ht="50.1" customHeight="1" thickBot="1" x14ac:dyDescent="0.3">
      <c r="A3" s="40" t="s">
        <v>0</v>
      </c>
      <c r="B3" s="40" t="s">
        <v>10</v>
      </c>
      <c r="C3" s="41" t="s">
        <v>11</v>
      </c>
      <c r="D3" s="41" t="s">
        <v>1</v>
      </c>
      <c r="E3" s="43" t="s">
        <v>2</v>
      </c>
      <c r="F3" s="40" t="s">
        <v>1076</v>
      </c>
      <c r="G3" s="43" t="s">
        <v>1077</v>
      </c>
      <c r="H3" s="43" t="s">
        <v>3</v>
      </c>
      <c r="I3" s="44" t="s">
        <v>9</v>
      </c>
      <c r="J3" s="44" t="s">
        <v>4</v>
      </c>
      <c r="K3" s="44" t="s">
        <v>1078</v>
      </c>
      <c r="L3" s="244" t="s">
        <v>6</v>
      </c>
      <c r="M3" s="244" t="s">
        <v>7</v>
      </c>
      <c r="N3" s="44" t="s">
        <v>5</v>
      </c>
      <c r="O3" s="245" t="s">
        <v>8</v>
      </c>
      <c r="P3" s="246"/>
    </row>
    <row r="4" spans="1:16" ht="30" customHeight="1" thickBot="1" x14ac:dyDescent="0.3">
      <c r="A4" s="433" t="s">
        <v>1079</v>
      </c>
      <c r="B4" s="434"/>
      <c r="C4" s="434"/>
      <c r="D4" s="434"/>
      <c r="E4" s="434"/>
      <c r="F4" s="434"/>
      <c r="G4" s="434"/>
      <c r="H4" s="435"/>
      <c r="I4" s="247"/>
      <c r="J4" s="248"/>
      <c r="K4" s="249">
        <f>'[1]Bid Recap &amp; Summary'!K22</f>
        <v>83</v>
      </c>
      <c r="L4" s="250"/>
      <c r="M4" s="251"/>
      <c r="N4" s="248"/>
      <c r="O4" s="252"/>
      <c r="P4" s="253"/>
    </row>
    <row r="5" spans="1:16" ht="20.100000000000001" customHeight="1" thickBot="1" x14ac:dyDescent="0.3">
      <c r="A5" s="436" t="s">
        <v>1080</v>
      </c>
      <c r="B5" s="437"/>
      <c r="C5" s="437"/>
      <c r="D5" s="438"/>
      <c r="E5" s="254"/>
      <c r="F5" s="255"/>
      <c r="G5" s="256"/>
      <c r="H5" s="256"/>
      <c r="I5" s="257"/>
      <c r="J5" s="258"/>
      <c r="K5" s="259"/>
      <c r="L5" s="260"/>
      <c r="M5" s="260"/>
      <c r="N5" s="261"/>
      <c r="O5" s="262"/>
      <c r="P5" s="263"/>
    </row>
    <row r="6" spans="1:16" s="84" customFormat="1" x14ac:dyDescent="0.25">
      <c r="A6" s="264">
        <v>2</v>
      </c>
      <c r="B6" s="123"/>
      <c r="C6" s="123"/>
      <c r="D6" s="104" t="s">
        <v>1081</v>
      </c>
      <c r="E6" s="124">
        <v>24</v>
      </c>
      <c r="F6" s="33">
        <v>0.05</v>
      </c>
      <c r="G6" s="82">
        <f t="shared" ref="G6:G34" si="0">E6+(E6*F6)</f>
        <v>25.2</v>
      </c>
      <c r="H6" s="82" t="s">
        <v>1082</v>
      </c>
      <c r="I6" s="265">
        <v>26.527499999999996</v>
      </c>
      <c r="J6" s="266">
        <f t="shared" ref="J6:J34" si="1">I6*G6</f>
        <v>668.49299999999994</v>
      </c>
      <c r="K6" s="265">
        <f t="shared" ref="K6:K34" si="2">$K$4</f>
        <v>83</v>
      </c>
      <c r="L6" s="267">
        <v>0.17629999999999996</v>
      </c>
      <c r="M6" s="267">
        <f t="shared" ref="M6:M34" si="3">L6*G6</f>
        <v>4.4427599999999989</v>
      </c>
      <c r="N6" s="266">
        <f t="shared" ref="N6:N38" si="4">M6*K6</f>
        <v>368.74907999999994</v>
      </c>
      <c r="O6" s="268">
        <f t="shared" ref="O6:O38" si="5">N6+J6</f>
        <v>1037.24208</v>
      </c>
      <c r="P6" s="2"/>
    </row>
    <row r="7" spans="1:16" s="84" customFormat="1" x14ac:dyDescent="0.25">
      <c r="A7" s="264">
        <v>3</v>
      </c>
      <c r="B7" s="123"/>
      <c r="C7" s="123"/>
      <c r="D7" s="104" t="s">
        <v>1083</v>
      </c>
      <c r="E7" s="124">
        <v>300</v>
      </c>
      <c r="F7" s="33">
        <v>0.05</v>
      </c>
      <c r="G7" s="82">
        <f t="shared" si="0"/>
        <v>315</v>
      </c>
      <c r="H7" s="82" t="s">
        <v>228</v>
      </c>
      <c r="I7" s="265">
        <v>7.5375000000000005</v>
      </c>
      <c r="J7" s="266">
        <f t="shared" si="1"/>
        <v>2374.3125</v>
      </c>
      <c r="K7" s="265">
        <f t="shared" si="2"/>
        <v>83</v>
      </c>
      <c r="L7" s="267">
        <v>8.4280000000000008E-2</v>
      </c>
      <c r="M7" s="267">
        <f t="shared" si="3"/>
        <v>26.548200000000001</v>
      </c>
      <c r="N7" s="266">
        <f t="shared" si="4"/>
        <v>2203.5006000000003</v>
      </c>
      <c r="O7" s="268">
        <f t="shared" si="5"/>
        <v>4577.8131000000003</v>
      </c>
      <c r="P7" s="2"/>
    </row>
    <row r="8" spans="1:16" x14ac:dyDescent="0.25">
      <c r="A8" s="264"/>
      <c r="B8" s="123"/>
      <c r="C8" s="123"/>
      <c r="D8" s="104" t="s">
        <v>1084</v>
      </c>
      <c r="E8" s="124">
        <f>ROUNDUP(E7*3%*2,0)</f>
        <v>18</v>
      </c>
      <c r="F8" s="33">
        <v>0</v>
      </c>
      <c r="G8" s="82">
        <f>E8+(E8*F8)</f>
        <v>18</v>
      </c>
      <c r="H8" s="82" t="s">
        <v>250</v>
      </c>
      <c r="I8" s="265">
        <v>91.728000000000009</v>
      </c>
      <c r="J8" s="266">
        <f>I8*G8</f>
        <v>1651.1040000000003</v>
      </c>
      <c r="K8" s="265">
        <f>$K$4</f>
        <v>83</v>
      </c>
      <c r="L8" s="267">
        <v>1.075</v>
      </c>
      <c r="M8" s="267">
        <f>L8*G8</f>
        <v>19.349999999999998</v>
      </c>
      <c r="N8" s="266">
        <f>M8*K8</f>
        <v>1606.0499999999997</v>
      </c>
      <c r="O8" s="268">
        <f>N8+J8</f>
        <v>3257.154</v>
      </c>
      <c r="P8" s="2"/>
    </row>
    <row r="9" spans="1:16" x14ac:dyDescent="0.25">
      <c r="A9" s="264"/>
      <c r="B9" s="123"/>
      <c r="C9" s="123"/>
      <c r="D9" s="104" t="s">
        <v>1085</v>
      </c>
      <c r="E9" s="124">
        <f>ROUNDUP(E7*4%*2,0)</f>
        <v>24</v>
      </c>
      <c r="F9" s="33">
        <v>0</v>
      </c>
      <c r="G9" s="82">
        <f>E9+(E9*F9)</f>
        <v>24</v>
      </c>
      <c r="H9" s="82" t="s">
        <v>250</v>
      </c>
      <c r="I9" s="265">
        <v>6.7848750000000004</v>
      </c>
      <c r="J9" s="266">
        <f>I9*G9</f>
        <v>162.83700000000002</v>
      </c>
      <c r="K9" s="265">
        <f>$K$4</f>
        <v>83</v>
      </c>
      <c r="L9" s="267">
        <v>8.4280000000000008E-2</v>
      </c>
      <c r="M9" s="267">
        <f>L9*G9</f>
        <v>2.0227200000000001</v>
      </c>
      <c r="N9" s="266">
        <f>M9*K9</f>
        <v>167.88576</v>
      </c>
      <c r="O9" s="268">
        <f>N9+J9</f>
        <v>330.72275999999999</v>
      </c>
      <c r="P9" s="2"/>
    </row>
    <row r="10" spans="1:16" x14ac:dyDescent="0.25">
      <c r="A10" s="264"/>
      <c r="B10" s="123"/>
      <c r="C10" s="123"/>
      <c r="D10" s="104" t="s">
        <v>1086</v>
      </c>
      <c r="E10" s="124">
        <f>ROUNDUP(E7*3%*4,0)</f>
        <v>36</v>
      </c>
      <c r="F10" s="33">
        <v>0</v>
      </c>
      <c r="G10" s="82">
        <f>E10+(E10*F10)</f>
        <v>36</v>
      </c>
      <c r="H10" s="82" t="s">
        <v>250</v>
      </c>
      <c r="I10" s="265">
        <v>3.9908250000000001</v>
      </c>
      <c r="J10" s="266">
        <f>I10*G10</f>
        <v>143.66970000000001</v>
      </c>
      <c r="K10" s="265">
        <f>$K$4</f>
        <v>83</v>
      </c>
      <c r="L10" s="267">
        <v>6.4500000000000002E-2</v>
      </c>
      <c r="M10" s="267">
        <f>L10*G10</f>
        <v>2.3220000000000001</v>
      </c>
      <c r="N10" s="266">
        <f>M10*K10</f>
        <v>192.726</v>
      </c>
      <c r="O10" s="268">
        <f>N10+J10</f>
        <v>336.39570000000003</v>
      </c>
      <c r="P10" s="2"/>
    </row>
    <row r="11" spans="1:16" x14ac:dyDescent="0.25">
      <c r="A11" s="264"/>
      <c r="B11" s="123"/>
      <c r="C11" s="123"/>
      <c r="D11" s="104" t="s">
        <v>1087</v>
      </c>
      <c r="E11" s="124">
        <f>ROUNDUP(E7*4%*2,0)</f>
        <v>24</v>
      </c>
      <c r="F11" s="33">
        <v>0</v>
      </c>
      <c r="G11" s="82">
        <f>E11+(E11*F11)</f>
        <v>24</v>
      </c>
      <c r="H11" s="82" t="s">
        <v>250</v>
      </c>
      <c r="I11" s="265">
        <v>5.2025625</v>
      </c>
      <c r="J11" s="266">
        <f>I11*G11</f>
        <v>124.86150000000001</v>
      </c>
      <c r="K11" s="265">
        <f>$K$4</f>
        <v>83</v>
      </c>
      <c r="L11" s="267">
        <v>0.24080000000000001</v>
      </c>
      <c r="M11" s="267">
        <f>L11*G11</f>
        <v>5.7792000000000003</v>
      </c>
      <c r="N11" s="266">
        <f>M11*K11</f>
        <v>479.67360000000002</v>
      </c>
      <c r="O11" s="268">
        <f>N11+J11</f>
        <v>604.53510000000006</v>
      </c>
      <c r="P11" s="2"/>
    </row>
    <row r="12" spans="1:16" s="84" customFormat="1" x14ac:dyDescent="0.25">
      <c r="A12" s="264">
        <v>4</v>
      </c>
      <c r="B12" s="123"/>
      <c r="C12" s="123"/>
      <c r="D12" s="104" t="s">
        <v>1088</v>
      </c>
      <c r="E12" s="124">
        <v>24</v>
      </c>
      <c r="F12" s="33">
        <v>0.05</v>
      </c>
      <c r="G12" s="82">
        <f t="shared" si="0"/>
        <v>25.2</v>
      </c>
      <c r="H12" s="82" t="s">
        <v>228</v>
      </c>
      <c r="I12" s="265">
        <v>28.428750000000001</v>
      </c>
      <c r="J12" s="266">
        <f t="shared" si="1"/>
        <v>716.40449999999998</v>
      </c>
      <c r="K12" s="265">
        <f t="shared" si="2"/>
        <v>83</v>
      </c>
      <c r="L12" s="267">
        <v>0.1462</v>
      </c>
      <c r="M12" s="267">
        <f t="shared" si="3"/>
        <v>3.68424</v>
      </c>
      <c r="N12" s="266">
        <f t="shared" si="4"/>
        <v>305.79192</v>
      </c>
      <c r="O12" s="268">
        <f t="shared" si="5"/>
        <v>1022.19642</v>
      </c>
      <c r="P12" s="2"/>
    </row>
    <row r="13" spans="1:16" x14ac:dyDescent="0.25">
      <c r="A13" s="264"/>
      <c r="B13" s="123"/>
      <c r="C13" s="123"/>
      <c r="D13" s="104" t="s">
        <v>1089</v>
      </c>
      <c r="E13" s="124">
        <f>ROUNDUP(E12*3%,0)</f>
        <v>1</v>
      </c>
      <c r="F13" s="33">
        <v>0</v>
      </c>
      <c r="G13" s="82">
        <f t="shared" si="0"/>
        <v>1</v>
      </c>
      <c r="H13" s="82" t="s">
        <v>250</v>
      </c>
      <c r="I13" s="265">
        <v>33.153750000000002</v>
      </c>
      <c r="J13" s="266">
        <f t="shared" si="1"/>
        <v>33.153750000000002</v>
      </c>
      <c r="K13" s="265">
        <f t="shared" si="2"/>
        <v>83</v>
      </c>
      <c r="L13" s="267">
        <v>1.0749999999999999E-2</v>
      </c>
      <c r="M13" s="267">
        <f t="shared" si="3"/>
        <v>1.0749999999999999E-2</v>
      </c>
      <c r="N13" s="266">
        <f t="shared" si="4"/>
        <v>0.89224999999999988</v>
      </c>
      <c r="O13" s="268">
        <f t="shared" si="5"/>
        <v>34.045999999999999</v>
      </c>
      <c r="P13" s="2"/>
    </row>
    <row r="14" spans="1:16" x14ac:dyDescent="0.25">
      <c r="A14" s="264"/>
      <c r="B14" s="123"/>
      <c r="C14" s="123"/>
      <c r="D14" s="104" t="s">
        <v>1084</v>
      </c>
      <c r="E14" s="124">
        <f>ROUNDUP(E12*3%,0)</f>
        <v>1</v>
      </c>
      <c r="F14" s="33">
        <v>0</v>
      </c>
      <c r="G14" s="82">
        <f t="shared" si="0"/>
        <v>1</v>
      </c>
      <c r="H14" s="82" t="s">
        <v>250</v>
      </c>
      <c r="I14" s="265">
        <v>91.728000000000009</v>
      </c>
      <c r="J14" s="266">
        <f t="shared" si="1"/>
        <v>91.728000000000009</v>
      </c>
      <c r="K14" s="265">
        <f t="shared" si="2"/>
        <v>83</v>
      </c>
      <c r="L14" s="267">
        <v>1.075</v>
      </c>
      <c r="M14" s="267">
        <f t="shared" si="3"/>
        <v>1.075</v>
      </c>
      <c r="N14" s="266">
        <f t="shared" si="4"/>
        <v>89.224999999999994</v>
      </c>
      <c r="O14" s="268">
        <f t="shared" si="5"/>
        <v>180.953</v>
      </c>
      <c r="P14" s="2"/>
    </row>
    <row r="15" spans="1:16" x14ac:dyDescent="0.25">
      <c r="A15" s="264"/>
      <c r="B15" s="123"/>
      <c r="C15" s="123"/>
      <c r="D15" s="104" t="s">
        <v>1085</v>
      </c>
      <c r="E15" s="124">
        <f>ROUNDUP(E12*4%*4,0)</f>
        <v>4</v>
      </c>
      <c r="F15" s="33">
        <v>0</v>
      </c>
      <c r="G15" s="82">
        <f t="shared" si="0"/>
        <v>4</v>
      </c>
      <c r="H15" s="82" t="s">
        <v>250</v>
      </c>
      <c r="I15" s="265">
        <v>6.7848750000000004</v>
      </c>
      <c r="J15" s="266">
        <f t="shared" si="1"/>
        <v>27.139500000000002</v>
      </c>
      <c r="K15" s="265">
        <f t="shared" si="2"/>
        <v>83</v>
      </c>
      <c r="L15" s="267">
        <v>8.4280000000000008E-2</v>
      </c>
      <c r="M15" s="267">
        <f t="shared" si="3"/>
        <v>0.33712000000000003</v>
      </c>
      <c r="N15" s="266">
        <f t="shared" si="4"/>
        <v>27.980960000000003</v>
      </c>
      <c r="O15" s="268">
        <f t="shared" si="5"/>
        <v>55.120460000000008</v>
      </c>
      <c r="P15" s="2"/>
    </row>
    <row r="16" spans="1:16" x14ac:dyDescent="0.25">
      <c r="A16" s="264"/>
      <c r="B16" s="123"/>
      <c r="C16" s="123"/>
      <c r="D16" s="104" t="s">
        <v>1090</v>
      </c>
      <c r="E16" s="124">
        <f>ROUNDUP(E12*4%*2,0)</f>
        <v>2</v>
      </c>
      <c r="F16" s="33">
        <v>0</v>
      </c>
      <c r="G16" s="82">
        <f t="shared" si="0"/>
        <v>2</v>
      </c>
      <c r="H16" s="82" t="s">
        <v>250</v>
      </c>
      <c r="I16" s="265">
        <v>3.2301000000000002</v>
      </c>
      <c r="J16" s="266">
        <f t="shared" si="1"/>
        <v>6.4602000000000004</v>
      </c>
      <c r="K16" s="265">
        <f t="shared" si="2"/>
        <v>83</v>
      </c>
      <c r="L16" s="267">
        <v>7.2240000000000013E-2</v>
      </c>
      <c r="M16" s="267">
        <f t="shared" si="3"/>
        <v>0.14448000000000003</v>
      </c>
      <c r="N16" s="266">
        <f t="shared" si="4"/>
        <v>11.991840000000002</v>
      </c>
      <c r="O16" s="268">
        <f t="shared" si="5"/>
        <v>18.452040000000004</v>
      </c>
      <c r="P16" s="2"/>
    </row>
    <row r="17" spans="1:16" x14ac:dyDescent="0.25">
      <c r="A17" s="264"/>
      <c r="B17" s="123"/>
      <c r="C17" s="123"/>
      <c r="D17" s="104" t="s">
        <v>1091</v>
      </c>
      <c r="E17" s="124">
        <f>ROUNDUP(E12*4%,0)</f>
        <v>1</v>
      </c>
      <c r="F17" s="33">
        <v>0</v>
      </c>
      <c r="G17" s="82">
        <f t="shared" si="0"/>
        <v>1</v>
      </c>
      <c r="H17" s="82" t="s">
        <v>250</v>
      </c>
      <c r="I17" s="265">
        <v>0</v>
      </c>
      <c r="J17" s="266">
        <f t="shared" si="1"/>
        <v>0</v>
      </c>
      <c r="K17" s="265">
        <f t="shared" si="2"/>
        <v>83</v>
      </c>
      <c r="L17" s="267">
        <v>0.46440000000000003</v>
      </c>
      <c r="M17" s="267">
        <f t="shared" si="3"/>
        <v>0.46440000000000003</v>
      </c>
      <c r="N17" s="266">
        <f t="shared" si="4"/>
        <v>38.545200000000001</v>
      </c>
      <c r="O17" s="268">
        <f t="shared" si="5"/>
        <v>38.545200000000001</v>
      </c>
      <c r="P17" s="2"/>
    </row>
    <row r="18" spans="1:16" x14ac:dyDescent="0.25">
      <c r="A18" s="264"/>
      <c r="B18" s="123"/>
      <c r="C18" s="123"/>
      <c r="D18" s="104" t="s">
        <v>1092</v>
      </c>
      <c r="E18" s="124">
        <f>ROUNDUP(E12/8,0)</f>
        <v>3</v>
      </c>
      <c r="F18" s="33">
        <v>0</v>
      </c>
      <c r="G18" s="82">
        <f t="shared" si="0"/>
        <v>3</v>
      </c>
      <c r="H18" s="82" t="s">
        <v>250</v>
      </c>
      <c r="I18" s="265">
        <v>1.9045124999999998</v>
      </c>
      <c r="J18" s="266">
        <f t="shared" si="1"/>
        <v>5.7135374999999993</v>
      </c>
      <c r="K18" s="265">
        <f t="shared" si="2"/>
        <v>83</v>
      </c>
      <c r="L18" s="267">
        <v>0.129</v>
      </c>
      <c r="M18" s="267">
        <f t="shared" si="3"/>
        <v>0.38700000000000001</v>
      </c>
      <c r="N18" s="266">
        <f t="shared" si="4"/>
        <v>32.121000000000002</v>
      </c>
      <c r="O18" s="268">
        <f t="shared" si="5"/>
        <v>37.834537500000003</v>
      </c>
      <c r="P18" s="2"/>
    </row>
    <row r="19" spans="1:16" x14ac:dyDescent="0.25">
      <c r="A19" s="264"/>
      <c r="B19" s="123"/>
      <c r="C19" s="123"/>
      <c r="D19" s="104" t="s">
        <v>1093</v>
      </c>
      <c r="E19" s="124">
        <f>ROUNDUP(E12/8,0)</f>
        <v>3</v>
      </c>
      <c r="F19" s="33">
        <v>0</v>
      </c>
      <c r="G19" s="82">
        <f t="shared" si="0"/>
        <v>3</v>
      </c>
      <c r="H19" s="82" t="s">
        <v>250</v>
      </c>
      <c r="I19" s="265">
        <v>0</v>
      </c>
      <c r="J19" s="266">
        <f t="shared" si="1"/>
        <v>0</v>
      </c>
      <c r="K19" s="265">
        <f t="shared" si="2"/>
        <v>83</v>
      </c>
      <c r="L19" s="267">
        <v>0.1032</v>
      </c>
      <c r="M19" s="267">
        <f t="shared" si="3"/>
        <v>0.30959999999999999</v>
      </c>
      <c r="N19" s="266">
        <f t="shared" si="4"/>
        <v>25.6968</v>
      </c>
      <c r="O19" s="268">
        <f t="shared" si="5"/>
        <v>25.6968</v>
      </c>
      <c r="P19" s="2"/>
    </row>
    <row r="20" spans="1:16" s="84" customFormat="1" x14ac:dyDescent="0.25">
      <c r="A20" s="264">
        <v>5</v>
      </c>
      <c r="B20" s="123"/>
      <c r="C20" s="123"/>
      <c r="D20" s="104" t="s">
        <v>1094</v>
      </c>
      <c r="E20" s="124">
        <v>240.46</v>
      </c>
      <c r="F20" s="33">
        <v>0.05</v>
      </c>
      <c r="G20" s="82">
        <f t="shared" si="0"/>
        <v>252.483</v>
      </c>
      <c r="H20" s="82" t="s">
        <v>228</v>
      </c>
      <c r="I20" s="265">
        <v>6.1650000000000009</v>
      </c>
      <c r="J20" s="266">
        <f t="shared" si="1"/>
        <v>1556.5576950000002</v>
      </c>
      <c r="K20" s="265">
        <f t="shared" si="2"/>
        <v>83</v>
      </c>
      <c r="L20" s="269">
        <v>5.8480000000000004E-2</v>
      </c>
      <c r="M20" s="267">
        <f t="shared" si="3"/>
        <v>14.765205840000002</v>
      </c>
      <c r="N20" s="266">
        <f t="shared" si="4"/>
        <v>1225.5120847200001</v>
      </c>
      <c r="O20" s="270">
        <f t="shared" si="5"/>
        <v>2782.06977972</v>
      </c>
      <c r="P20" s="2"/>
    </row>
    <row r="21" spans="1:16" x14ac:dyDescent="0.25">
      <c r="A21" s="264"/>
      <c r="B21" s="123"/>
      <c r="C21" s="123"/>
      <c r="D21" s="104" t="s">
        <v>1095</v>
      </c>
      <c r="E21" s="124">
        <f>ROUNDUP(E20*6%,0)</f>
        <v>15</v>
      </c>
      <c r="F21" s="33">
        <v>0</v>
      </c>
      <c r="G21" s="271">
        <f t="shared" si="0"/>
        <v>15</v>
      </c>
      <c r="H21" s="271" t="s">
        <v>250</v>
      </c>
      <c r="I21" s="265">
        <v>16.596</v>
      </c>
      <c r="J21" s="266">
        <f t="shared" si="1"/>
        <v>248.94</v>
      </c>
      <c r="K21" s="265">
        <f t="shared" si="2"/>
        <v>83</v>
      </c>
      <c r="L21" s="269">
        <v>0.38700000000000001</v>
      </c>
      <c r="M21" s="267">
        <f t="shared" si="3"/>
        <v>5.8049999999999997</v>
      </c>
      <c r="N21" s="266">
        <f t="shared" si="4"/>
        <v>481.815</v>
      </c>
      <c r="O21" s="270">
        <f t="shared" si="5"/>
        <v>730.755</v>
      </c>
      <c r="P21" s="2"/>
    </row>
    <row r="22" spans="1:16" x14ac:dyDescent="0.25">
      <c r="A22" s="264"/>
      <c r="B22" s="123"/>
      <c r="C22" s="123"/>
      <c r="D22" s="104" t="s">
        <v>1096</v>
      </c>
      <c r="E22" s="124">
        <f>ROUNDUP(E20*8%,0)</f>
        <v>20</v>
      </c>
      <c r="F22" s="33">
        <v>0</v>
      </c>
      <c r="G22" s="271">
        <f t="shared" si="0"/>
        <v>20</v>
      </c>
      <c r="H22" s="271" t="s">
        <v>250</v>
      </c>
      <c r="I22" s="265">
        <v>12.281625</v>
      </c>
      <c r="J22" s="266">
        <f t="shared" si="1"/>
        <v>245.63249999999999</v>
      </c>
      <c r="K22" s="265">
        <f t="shared" si="2"/>
        <v>83</v>
      </c>
      <c r="L22" s="269">
        <v>0.17200000000000001</v>
      </c>
      <c r="M22" s="267">
        <f t="shared" si="3"/>
        <v>3.4400000000000004</v>
      </c>
      <c r="N22" s="266">
        <f t="shared" si="4"/>
        <v>285.52000000000004</v>
      </c>
      <c r="O22" s="270">
        <f t="shared" si="5"/>
        <v>531.15250000000003</v>
      </c>
      <c r="P22" s="2"/>
    </row>
    <row r="23" spans="1:16" x14ac:dyDescent="0.25">
      <c r="A23" s="264"/>
      <c r="B23" s="123"/>
      <c r="C23" s="123"/>
      <c r="D23" s="104" t="s">
        <v>1097</v>
      </c>
      <c r="E23" s="124">
        <f>ROUNDUP(E20/10,0)</f>
        <v>25</v>
      </c>
      <c r="F23" s="33">
        <v>0</v>
      </c>
      <c r="G23" s="271">
        <f t="shared" si="0"/>
        <v>25</v>
      </c>
      <c r="H23" s="271" t="s">
        <v>250</v>
      </c>
      <c r="I23" s="265">
        <v>13.929975000000001</v>
      </c>
      <c r="J23" s="266">
        <f t="shared" si="1"/>
        <v>348.24937500000004</v>
      </c>
      <c r="K23" s="265">
        <f t="shared" si="2"/>
        <v>83</v>
      </c>
      <c r="L23" s="269">
        <v>8.1700000000000009E-2</v>
      </c>
      <c r="M23" s="267">
        <f t="shared" si="3"/>
        <v>2.0425000000000004</v>
      </c>
      <c r="N23" s="266">
        <f t="shared" si="4"/>
        <v>169.52750000000003</v>
      </c>
      <c r="O23" s="270">
        <f t="shared" si="5"/>
        <v>517.77687500000002</v>
      </c>
      <c r="P23" s="2"/>
    </row>
    <row r="24" spans="1:16" x14ac:dyDescent="0.25">
      <c r="A24" s="264"/>
      <c r="B24" s="123"/>
      <c r="C24" s="123"/>
      <c r="D24" s="104" t="s">
        <v>1098</v>
      </c>
      <c r="E24" s="124">
        <f>ROUNDUP(E20*8%,0)</f>
        <v>20</v>
      </c>
      <c r="F24" s="33">
        <v>0</v>
      </c>
      <c r="G24" s="271">
        <f t="shared" si="0"/>
        <v>20</v>
      </c>
      <c r="H24" s="271" t="s">
        <v>250</v>
      </c>
      <c r="I24" s="265">
        <v>1.3921875000000001</v>
      </c>
      <c r="J24" s="266">
        <f t="shared" si="1"/>
        <v>27.843750000000004</v>
      </c>
      <c r="K24" s="265">
        <f t="shared" si="2"/>
        <v>83</v>
      </c>
      <c r="L24" s="269">
        <v>4.9879999999999994E-2</v>
      </c>
      <c r="M24" s="267">
        <f t="shared" si="3"/>
        <v>0.99759999999999982</v>
      </c>
      <c r="N24" s="266">
        <f t="shared" si="4"/>
        <v>82.800799999999981</v>
      </c>
      <c r="O24" s="270">
        <f t="shared" si="5"/>
        <v>110.64454999999998</v>
      </c>
      <c r="P24" s="2"/>
    </row>
    <row r="25" spans="1:16" x14ac:dyDescent="0.25">
      <c r="A25" s="264"/>
      <c r="B25" s="123"/>
      <c r="C25" s="123"/>
      <c r="D25" s="104" t="s">
        <v>1099</v>
      </c>
      <c r="E25" s="124">
        <f>ROUNDUP(E20/10,0)</f>
        <v>25</v>
      </c>
      <c r="F25" s="33">
        <v>0</v>
      </c>
      <c r="G25" s="271">
        <f t="shared" si="0"/>
        <v>25</v>
      </c>
      <c r="H25" s="271" t="s">
        <v>250</v>
      </c>
      <c r="I25" s="265">
        <v>2.2601249999999999</v>
      </c>
      <c r="J25" s="266">
        <f t="shared" si="1"/>
        <v>56.503124999999997</v>
      </c>
      <c r="K25" s="265">
        <f t="shared" si="2"/>
        <v>83</v>
      </c>
      <c r="L25" s="269">
        <v>7.9119999999999996E-2</v>
      </c>
      <c r="M25" s="267">
        <f t="shared" si="3"/>
        <v>1.978</v>
      </c>
      <c r="N25" s="266">
        <f t="shared" si="4"/>
        <v>164.17400000000001</v>
      </c>
      <c r="O25" s="270">
        <f t="shared" si="5"/>
        <v>220.67712499999999</v>
      </c>
      <c r="P25" s="2"/>
    </row>
    <row r="26" spans="1:16" x14ac:dyDescent="0.25">
      <c r="A26" s="264"/>
      <c r="B26" s="123"/>
      <c r="C26" s="123"/>
      <c r="D26" s="104" t="s">
        <v>1100</v>
      </c>
      <c r="E26" s="124">
        <f>ROUNDUP(E20/10,0)</f>
        <v>25</v>
      </c>
      <c r="F26" s="33">
        <v>0</v>
      </c>
      <c r="G26" s="271">
        <f t="shared" si="0"/>
        <v>25</v>
      </c>
      <c r="H26" s="271" t="s">
        <v>250</v>
      </c>
      <c r="I26" s="265">
        <v>0</v>
      </c>
      <c r="J26" s="266">
        <f t="shared" si="1"/>
        <v>0</v>
      </c>
      <c r="K26" s="265">
        <f t="shared" si="2"/>
        <v>83</v>
      </c>
      <c r="L26" s="269">
        <v>6.88E-2</v>
      </c>
      <c r="M26" s="267">
        <f t="shared" si="3"/>
        <v>1.72</v>
      </c>
      <c r="N26" s="266">
        <f t="shared" si="4"/>
        <v>142.76</v>
      </c>
      <c r="O26" s="270">
        <f t="shared" si="5"/>
        <v>142.76</v>
      </c>
      <c r="P26" s="2"/>
    </row>
    <row r="27" spans="1:16" s="84" customFormat="1" x14ac:dyDescent="0.25">
      <c r="A27" s="264">
        <v>6</v>
      </c>
      <c r="B27" s="123"/>
      <c r="C27" s="123"/>
      <c r="D27" s="104" t="s">
        <v>1101</v>
      </c>
      <c r="E27" s="124">
        <v>133.74</v>
      </c>
      <c r="F27" s="272">
        <v>0.05</v>
      </c>
      <c r="G27" s="271">
        <f t="shared" si="0"/>
        <v>140.42700000000002</v>
      </c>
      <c r="H27" s="271" t="s">
        <v>228</v>
      </c>
      <c r="I27" s="265">
        <v>5.2649999999999997</v>
      </c>
      <c r="J27" s="266">
        <f t="shared" si="1"/>
        <v>739.34815500000002</v>
      </c>
      <c r="K27" s="265">
        <f t="shared" si="2"/>
        <v>83</v>
      </c>
      <c r="L27" s="269">
        <v>5.0912000000000006E-2</v>
      </c>
      <c r="M27" s="267">
        <f t="shared" si="3"/>
        <v>7.1494194240000022</v>
      </c>
      <c r="N27" s="266">
        <f t="shared" si="4"/>
        <v>593.40181219200019</v>
      </c>
      <c r="O27" s="268">
        <f t="shared" si="5"/>
        <v>1332.7499671920002</v>
      </c>
      <c r="P27" s="2"/>
    </row>
    <row r="28" spans="1:16" x14ac:dyDescent="0.25">
      <c r="A28" s="264"/>
      <c r="B28" s="123"/>
      <c r="C28" s="123"/>
      <c r="D28" s="104" t="s">
        <v>1102</v>
      </c>
      <c r="E28" s="124">
        <f>ROUNDUP(E27*6%,0)</f>
        <v>9</v>
      </c>
      <c r="F28" s="33">
        <v>0</v>
      </c>
      <c r="G28" s="271">
        <f t="shared" si="0"/>
        <v>9</v>
      </c>
      <c r="H28" s="271" t="s">
        <v>250</v>
      </c>
      <c r="I28" s="265">
        <v>11.294999999999998</v>
      </c>
      <c r="J28" s="266">
        <f t="shared" si="1"/>
        <v>101.65499999999999</v>
      </c>
      <c r="K28" s="265">
        <f t="shared" si="2"/>
        <v>83</v>
      </c>
      <c r="L28" s="269">
        <v>0.34400000000000003</v>
      </c>
      <c r="M28" s="267">
        <f t="shared" si="3"/>
        <v>3.0960000000000001</v>
      </c>
      <c r="N28" s="266">
        <f t="shared" si="4"/>
        <v>256.96800000000002</v>
      </c>
      <c r="O28" s="268">
        <f t="shared" si="5"/>
        <v>358.62299999999999</v>
      </c>
      <c r="P28" s="2"/>
    </row>
    <row r="29" spans="1:16" x14ac:dyDescent="0.25">
      <c r="A29" s="264"/>
      <c r="B29" s="123"/>
      <c r="C29" s="123"/>
      <c r="D29" s="104" t="s">
        <v>1103</v>
      </c>
      <c r="E29" s="124">
        <f>ROUNDUP(E27*8%,0)</f>
        <v>11</v>
      </c>
      <c r="F29" s="33">
        <v>0</v>
      </c>
      <c r="G29" s="271">
        <f t="shared" si="0"/>
        <v>11</v>
      </c>
      <c r="H29" s="271" t="s">
        <v>250</v>
      </c>
      <c r="I29" s="265">
        <v>8.1603000000000012</v>
      </c>
      <c r="J29" s="266">
        <f t="shared" si="1"/>
        <v>89.763300000000015</v>
      </c>
      <c r="K29" s="265">
        <f t="shared" si="2"/>
        <v>83</v>
      </c>
      <c r="L29" s="269">
        <v>0.1462</v>
      </c>
      <c r="M29" s="267">
        <f t="shared" si="3"/>
        <v>1.6082000000000001</v>
      </c>
      <c r="N29" s="266">
        <f t="shared" si="4"/>
        <v>133.48060000000001</v>
      </c>
      <c r="O29" s="268">
        <f t="shared" si="5"/>
        <v>223.24390000000002</v>
      </c>
      <c r="P29" s="2"/>
    </row>
    <row r="30" spans="1:16" x14ac:dyDescent="0.25">
      <c r="A30" s="264"/>
      <c r="B30" s="123"/>
      <c r="C30" s="123"/>
      <c r="D30" s="104" t="s">
        <v>1104</v>
      </c>
      <c r="E30" s="124">
        <f>ROUNDUP(E27/10,0)</f>
        <v>14</v>
      </c>
      <c r="F30" s="33">
        <v>0</v>
      </c>
      <c r="G30" s="271">
        <f t="shared" si="0"/>
        <v>14</v>
      </c>
      <c r="H30" s="271" t="s">
        <v>250</v>
      </c>
      <c r="I30" s="265">
        <v>10.633049999999999</v>
      </c>
      <c r="J30" s="266">
        <f t="shared" si="1"/>
        <v>148.86269999999999</v>
      </c>
      <c r="K30" s="265">
        <f t="shared" si="2"/>
        <v>83</v>
      </c>
      <c r="L30" s="269">
        <v>6.88E-2</v>
      </c>
      <c r="M30" s="267">
        <f t="shared" si="3"/>
        <v>0.96320000000000006</v>
      </c>
      <c r="N30" s="266">
        <f t="shared" si="4"/>
        <v>79.945599999999999</v>
      </c>
      <c r="O30" s="268">
        <f t="shared" si="5"/>
        <v>228.80829999999997</v>
      </c>
      <c r="P30" s="2"/>
    </row>
    <row r="31" spans="1:16" x14ac:dyDescent="0.25">
      <c r="A31" s="264"/>
      <c r="B31" s="123"/>
      <c r="C31" s="123"/>
      <c r="D31" s="104" t="s">
        <v>1105</v>
      </c>
      <c r="E31" s="124">
        <f>ROUNDUP(E27*8%,0)</f>
        <v>11</v>
      </c>
      <c r="F31" s="33">
        <v>0</v>
      </c>
      <c r="G31" s="271">
        <f t="shared" si="0"/>
        <v>11</v>
      </c>
      <c r="H31" s="271" t="s">
        <v>250</v>
      </c>
      <c r="I31" s="265">
        <v>0.77906249999999999</v>
      </c>
      <c r="J31" s="266">
        <f t="shared" si="1"/>
        <v>8.5696875000000006</v>
      </c>
      <c r="K31" s="265">
        <f t="shared" si="2"/>
        <v>83</v>
      </c>
      <c r="L31" s="269">
        <v>4.4720000000000003E-2</v>
      </c>
      <c r="M31" s="267">
        <f t="shared" si="3"/>
        <v>0.49192000000000002</v>
      </c>
      <c r="N31" s="266">
        <f t="shared" si="4"/>
        <v>40.829360000000001</v>
      </c>
      <c r="O31" s="268">
        <f t="shared" si="5"/>
        <v>49.399047500000002</v>
      </c>
      <c r="P31" s="2"/>
    </row>
    <row r="32" spans="1:16" x14ac:dyDescent="0.25">
      <c r="A32" s="264"/>
      <c r="B32" s="123"/>
      <c r="C32" s="123"/>
      <c r="D32" s="104" t="s">
        <v>1106</v>
      </c>
      <c r="E32" s="124">
        <f>ROUNDUP(E27/10,0)</f>
        <v>14</v>
      </c>
      <c r="F32" s="33">
        <v>0</v>
      </c>
      <c r="G32" s="271">
        <f t="shared" si="0"/>
        <v>14</v>
      </c>
      <c r="H32" s="271" t="s">
        <v>250</v>
      </c>
      <c r="I32" s="265">
        <v>1.6830000000000001</v>
      </c>
      <c r="J32" s="266">
        <f t="shared" si="1"/>
        <v>23.562000000000001</v>
      </c>
      <c r="K32" s="265">
        <f t="shared" si="2"/>
        <v>83</v>
      </c>
      <c r="L32" s="269">
        <v>6.7080000000000001E-2</v>
      </c>
      <c r="M32" s="267">
        <f t="shared" si="3"/>
        <v>0.93911999999999995</v>
      </c>
      <c r="N32" s="266">
        <f t="shared" si="4"/>
        <v>77.94695999999999</v>
      </c>
      <c r="O32" s="268">
        <f t="shared" si="5"/>
        <v>101.50895999999999</v>
      </c>
      <c r="P32" s="2"/>
    </row>
    <row r="33" spans="1:16" x14ac:dyDescent="0.25">
      <c r="A33" s="264"/>
      <c r="B33" s="123"/>
      <c r="C33" s="123"/>
      <c r="D33" s="104" t="s">
        <v>1100</v>
      </c>
      <c r="E33" s="124">
        <f>ROUNDUP(E27/10,0)</f>
        <v>14</v>
      </c>
      <c r="F33" s="33">
        <v>0</v>
      </c>
      <c r="G33" s="271">
        <f t="shared" si="0"/>
        <v>14</v>
      </c>
      <c r="H33" s="271" t="s">
        <v>250</v>
      </c>
      <c r="I33" s="265">
        <v>0</v>
      </c>
      <c r="J33" s="266">
        <f t="shared" si="1"/>
        <v>0</v>
      </c>
      <c r="K33" s="265">
        <f t="shared" si="2"/>
        <v>83</v>
      </c>
      <c r="L33" s="269">
        <v>6.88E-2</v>
      </c>
      <c r="M33" s="267">
        <f t="shared" si="3"/>
        <v>0.96320000000000006</v>
      </c>
      <c r="N33" s="266">
        <f t="shared" si="4"/>
        <v>79.945599999999999</v>
      </c>
      <c r="O33" s="268">
        <f t="shared" si="5"/>
        <v>79.945599999999999</v>
      </c>
      <c r="P33" s="2"/>
    </row>
    <row r="34" spans="1:16" s="84" customFormat="1" x14ac:dyDescent="0.25">
      <c r="A34" s="264">
        <v>7</v>
      </c>
      <c r="B34" s="123"/>
      <c r="C34" s="123"/>
      <c r="D34" s="104" t="s">
        <v>1107</v>
      </c>
      <c r="E34" s="124">
        <v>15</v>
      </c>
      <c r="F34" s="272">
        <v>0.05</v>
      </c>
      <c r="G34" s="271">
        <f t="shared" si="0"/>
        <v>15.75</v>
      </c>
      <c r="H34" s="271" t="s">
        <v>228</v>
      </c>
      <c r="I34" s="265">
        <v>1.89</v>
      </c>
      <c r="J34" s="266">
        <f t="shared" si="1"/>
        <v>29.767499999999998</v>
      </c>
      <c r="K34" s="265">
        <f t="shared" si="2"/>
        <v>83</v>
      </c>
      <c r="L34" s="269">
        <v>3.6120000000000006E-2</v>
      </c>
      <c r="M34" s="267">
        <f t="shared" si="3"/>
        <v>0.56889000000000012</v>
      </c>
      <c r="N34" s="266">
        <f t="shared" si="4"/>
        <v>47.217870000000012</v>
      </c>
      <c r="O34" s="268">
        <f t="shared" si="5"/>
        <v>76.985370000000017</v>
      </c>
      <c r="P34" s="2"/>
    </row>
    <row r="35" spans="1:16" x14ac:dyDescent="0.25">
      <c r="A35" s="264"/>
      <c r="B35" s="123"/>
      <c r="C35" s="123"/>
      <c r="D35" s="104" t="s">
        <v>1108</v>
      </c>
      <c r="E35" s="124">
        <f>ROUNDUP(E34*3%*2,0)</f>
        <v>1</v>
      </c>
      <c r="F35" s="33">
        <v>0</v>
      </c>
      <c r="G35" s="271">
        <f>E35+(E35*F35)</f>
        <v>1</v>
      </c>
      <c r="H35" s="271" t="s">
        <v>250</v>
      </c>
      <c r="I35" s="265">
        <v>14.820750000000002</v>
      </c>
      <c r="J35" s="266">
        <f>I35*G35</f>
        <v>14.820750000000002</v>
      </c>
      <c r="K35" s="265">
        <f>$K$4</f>
        <v>83</v>
      </c>
      <c r="L35" s="269">
        <v>0.2752</v>
      </c>
      <c r="M35" s="267">
        <f>L35*G35</f>
        <v>0.2752</v>
      </c>
      <c r="N35" s="266">
        <f t="shared" si="4"/>
        <v>22.8416</v>
      </c>
      <c r="O35" s="268">
        <f t="shared" si="5"/>
        <v>37.662350000000004</v>
      </c>
      <c r="P35" s="2"/>
    </row>
    <row r="36" spans="1:16" x14ac:dyDescent="0.25">
      <c r="A36" s="264"/>
      <c r="B36" s="123"/>
      <c r="C36" s="123"/>
      <c r="D36" s="104" t="s">
        <v>1109</v>
      </c>
      <c r="E36" s="124">
        <f>ROUNDUP(E34*4%*2,0)</f>
        <v>2</v>
      </c>
      <c r="F36" s="33">
        <v>0</v>
      </c>
      <c r="G36" s="271">
        <f>E36+(E36*F36)</f>
        <v>2</v>
      </c>
      <c r="H36" s="271" t="s">
        <v>250</v>
      </c>
      <c r="I36" s="265">
        <v>0.84543750000000006</v>
      </c>
      <c r="J36" s="266">
        <f>I36*G36</f>
        <v>1.6908750000000001</v>
      </c>
      <c r="K36" s="265">
        <f>$K$4</f>
        <v>83</v>
      </c>
      <c r="L36" s="269">
        <v>2.6660000000000003E-2</v>
      </c>
      <c r="M36" s="267">
        <f>L36*G36</f>
        <v>5.3320000000000006E-2</v>
      </c>
      <c r="N36" s="266">
        <f t="shared" si="4"/>
        <v>4.4255600000000008</v>
      </c>
      <c r="O36" s="268">
        <f t="shared" si="5"/>
        <v>6.116435000000001</v>
      </c>
      <c r="P36" s="2"/>
    </row>
    <row r="37" spans="1:16" x14ac:dyDescent="0.25">
      <c r="A37" s="264"/>
      <c r="B37" s="123"/>
      <c r="C37" s="123"/>
      <c r="D37" s="104" t="s">
        <v>1110</v>
      </c>
      <c r="E37" s="124">
        <f>ROUNDUP(E34*3%*4,0)</f>
        <v>2</v>
      </c>
      <c r="F37" s="33">
        <v>0</v>
      </c>
      <c r="G37" s="271">
        <f>E37+(E37*F37)</f>
        <v>2</v>
      </c>
      <c r="H37" s="271" t="s">
        <v>250</v>
      </c>
      <c r="I37" s="265">
        <v>0.56441249999999998</v>
      </c>
      <c r="J37" s="266">
        <f>I37*G37</f>
        <v>1.128825</v>
      </c>
      <c r="K37" s="265">
        <f>$K$4</f>
        <v>83</v>
      </c>
      <c r="L37" s="269">
        <v>2.1499999999999998E-2</v>
      </c>
      <c r="M37" s="267">
        <f>L37*G37</f>
        <v>4.2999999999999997E-2</v>
      </c>
      <c r="N37" s="266">
        <f t="shared" si="4"/>
        <v>3.5689999999999995</v>
      </c>
      <c r="O37" s="268">
        <f t="shared" si="5"/>
        <v>4.6978249999999999</v>
      </c>
      <c r="P37" s="2"/>
    </row>
    <row r="38" spans="1:16" x14ac:dyDescent="0.25">
      <c r="A38" s="264"/>
      <c r="B38" s="123"/>
      <c r="C38" s="123"/>
      <c r="D38" s="104" t="s">
        <v>1111</v>
      </c>
      <c r="E38" s="124">
        <f>ROUNDUP(E34*4%*2,0)</f>
        <v>2</v>
      </c>
      <c r="F38" s="33">
        <v>0</v>
      </c>
      <c r="G38" s="271">
        <f>E38+(E38*F38)</f>
        <v>2</v>
      </c>
      <c r="H38" s="271" t="s">
        <v>250</v>
      </c>
      <c r="I38" s="265">
        <v>0.97560000000000002</v>
      </c>
      <c r="J38" s="266">
        <f>I38*G38</f>
        <v>1.9512</v>
      </c>
      <c r="K38" s="265">
        <f>$K$4</f>
        <v>83</v>
      </c>
      <c r="L38" s="269">
        <v>0.1032</v>
      </c>
      <c r="M38" s="267">
        <f>L38*G38</f>
        <v>0.2064</v>
      </c>
      <c r="N38" s="266">
        <f t="shared" si="4"/>
        <v>17.1312</v>
      </c>
      <c r="O38" s="268">
        <f t="shared" si="5"/>
        <v>19.0824</v>
      </c>
      <c r="P38" s="2"/>
    </row>
    <row r="39" spans="1:16" ht="15.75" thickBot="1" x14ac:dyDescent="0.3">
      <c r="A39" s="264"/>
      <c r="B39" s="273"/>
      <c r="C39" s="273"/>
      <c r="D39" s="114"/>
      <c r="E39" s="124"/>
      <c r="F39" s="272"/>
      <c r="G39" s="271"/>
      <c r="H39" s="271"/>
      <c r="I39" s="274"/>
      <c r="J39" s="275"/>
      <c r="K39" s="276"/>
      <c r="L39" s="277"/>
      <c r="M39" s="269"/>
      <c r="N39" s="274"/>
      <c r="O39" s="278"/>
      <c r="P39" s="2"/>
    </row>
    <row r="40" spans="1:16" ht="20.100000000000001" customHeight="1" thickBot="1" x14ac:dyDescent="0.3">
      <c r="A40" s="439" t="s">
        <v>1112</v>
      </c>
      <c r="B40" s="440"/>
      <c r="C40" s="440"/>
      <c r="D40" s="441"/>
      <c r="E40" s="224"/>
      <c r="F40" s="272"/>
      <c r="G40" s="271"/>
      <c r="H40" s="271"/>
      <c r="I40" s="274"/>
      <c r="J40" s="275"/>
      <c r="K40" s="276"/>
      <c r="L40" s="277"/>
      <c r="M40" s="269"/>
      <c r="N40" s="274"/>
      <c r="O40" s="278"/>
      <c r="P40" s="2"/>
    </row>
    <row r="41" spans="1:16" x14ac:dyDescent="0.25">
      <c r="A41" s="264">
        <v>2</v>
      </c>
      <c r="B41" s="123"/>
      <c r="C41" s="279"/>
      <c r="D41" s="104" t="s">
        <v>1113</v>
      </c>
      <c r="E41" s="124">
        <v>1392</v>
      </c>
      <c r="F41" s="272">
        <v>0.1</v>
      </c>
      <c r="G41" s="271">
        <f t="shared" ref="G41:G47" si="6">E41+(E41*F41)</f>
        <v>1531.2</v>
      </c>
      <c r="H41" s="271" t="s">
        <v>1082</v>
      </c>
      <c r="I41" s="265">
        <v>11.388155625</v>
      </c>
      <c r="J41" s="266">
        <f t="shared" ref="J41:J47" si="7">I41*G41</f>
        <v>17437.543892999998</v>
      </c>
      <c r="K41" s="265">
        <f t="shared" ref="K41:K47" si="8">$K$4</f>
        <v>83</v>
      </c>
      <c r="L41" s="267">
        <v>3.3862499999999997E-2</v>
      </c>
      <c r="M41" s="267">
        <f t="shared" ref="M41:M47" si="9">L41*G41</f>
        <v>51.850259999999999</v>
      </c>
      <c r="N41" s="266">
        <f>M41*K41</f>
        <v>4303.5715799999998</v>
      </c>
      <c r="O41" s="278">
        <f>J41+N41</f>
        <v>21741.115472999998</v>
      </c>
      <c r="P41" s="2"/>
    </row>
    <row r="42" spans="1:16" x14ac:dyDescent="0.25">
      <c r="A42" s="264">
        <v>3</v>
      </c>
      <c r="B42" s="123"/>
      <c r="C42" s="279"/>
      <c r="D42" s="104" t="s">
        <v>1114</v>
      </c>
      <c r="E42" s="280">
        <v>798.44</v>
      </c>
      <c r="F42" s="272">
        <v>0.1</v>
      </c>
      <c r="G42" s="271">
        <f t="shared" si="6"/>
        <v>878.28400000000011</v>
      </c>
      <c r="H42" s="271" t="s">
        <v>1082</v>
      </c>
      <c r="I42" s="265">
        <v>5.0972625000000003</v>
      </c>
      <c r="J42" s="266">
        <f t="shared" si="7"/>
        <v>4476.8440975500007</v>
      </c>
      <c r="K42" s="265">
        <f t="shared" si="8"/>
        <v>83</v>
      </c>
      <c r="L42" s="267">
        <v>1.6168000000000002E-2</v>
      </c>
      <c r="M42" s="267">
        <f t="shared" si="9"/>
        <v>14.200095712000003</v>
      </c>
      <c r="N42" s="266">
        <f>M42*K42</f>
        <v>1178.6079440960002</v>
      </c>
      <c r="O42" s="278">
        <f>J42+N42</f>
        <v>5655.4520416460009</v>
      </c>
      <c r="P42" s="2"/>
    </row>
    <row r="43" spans="1:16" x14ac:dyDescent="0.25">
      <c r="A43" s="264">
        <v>4</v>
      </c>
      <c r="B43" s="123"/>
      <c r="C43" s="279"/>
      <c r="D43" s="104" t="s">
        <v>1115</v>
      </c>
      <c r="E43" s="280">
        <v>87</v>
      </c>
      <c r="F43" s="272">
        <v>0.1</v>
      </c>
      <c r="G43" s="271">
        <f t="shared" si="6"/>
        <v>95.7</v>
      </c>
      <c r="H43" s="271" t="s">
        <v>1082</v>
      </c>
      <c r="I43" s="265">
        <v>5.6069887500000002</v>
      </c>
      <c r="J43" s="266">
        <f t="shared" si="7"/>
        <v>536.58882337500006</v>
      </c>
      <c r="K43" s="265">
        <f t="shared" si="8"/>
        <v>83</v>
      </c>
      <c r="L43" s="267">
        <v>2.0209999999999999E-2</v>
      </c>
      <c r="M43" s="267">
        <f t="shared" si="9"/>
        <v>1.934097</v>
      </c>
      <c r="N43" s="266">
        <f>M43*K43</f>
        <v>160.53005099999999</v>
      </c>
      <c r="O43" s="278">
        <f>J43+N43</f>
        <v>697.11887437500002</v>
      </c>
      <c r="P43" s="2"/>
    </row>
    <row r="44" spans="1:16" x14ac:dyDescent="0.25">
      <c r="A44" s="264">
        <v>5</v>
      </c>
      <c r="B44" s="123"/>
      <c r="C44" s="279"/>
      <c r="D44" s="104" t="s">
        <v>1116</v>
      </c>
      <c r="E44" s="124">
        <v>173.4</v>
      </c>
      <c r="F44" s="272">
        <v>0.1</v>
      </c>
      <c r="G44" s="271">
        <f>E44+(E44*F44)</f>
        <v>190.74</v>
      </c>
      <c r="H44" s="271" t="s">
        <v>1082</v>
      </c>
      <c r="I44" s="265">
        <v>3.2788012499999999</v>
      </c>
      <c r="J44" s="266">
        <f>I44*G44</f>
        <v>625.39855042500005</v>
      </c>
      <c r="K44" s="265">
        <f t="shared" si="8"/>
        <v>83</v>
      </c>
      <c r="L44" s="267">
        <v>1.2212000000000001E-2</v>
      </c>
      <c r="M44" s="267">
        <f>L44*G44</f>
        <v>2.3293168800000004</v>
      </c>
      <c r="N44" s="266">
        <f t="shared" ref="N44" si="10">M44*K44</f>
        <v>193.33330104000004</v>
      </c>
      <c r="O44" s="278">
        <f t="shared" ref="O44" si="11">J44+N44</f>
        <v>818.73185146500009</v>
      </c>
      <c r="P44" s="2"/>
    </row>
    <row r="45" spans="1:16" x14ac:dyDescent="0.25">
      <c r="A45" s="264">
        <v>6</v>
      </c>
      <c r="B45" s="123"/>
      <c r="C45" s="279"/>
      <c r="D45" s="104" t="s">
        <v>1117</v>
      </c>
      <c r="E45" s="124">
        <v>534.96</v>
      </c>
      <c r="F45" s="272">
        <v>0.1</v>
      </c>
      <c r="G45" s="271">
        <f t="shared" si="6"/>
        <v>588.45600000000002</v>
      </c>
      <c r="H45" s="271" t="s">
        <v>1082</v>
      </c>
      <c r="I45" s="265">
        <v>2.6780512500000002</v>
      </c>
      <c r="J45" s="266">
        <f t="shared" si="7"/>
        <v>1575.9153263700002</v>
      </c>
      <c r="K45" s="265">
        <f t="shared" si="8"/>
        <v>83</v>
      </c>
      <c r="L45" s="267">
        <v>1.6168000000000002E-2</v>
      </c>
      <c r="M45" s="267">
        <f t="shared" si="9"/>
        <v>9.5141566080000022</v>
      </c>
      <c r="N45" s="266">
        <f>M45*K45</f>
        <v>789.67499846400017</v>
      </c>
      <c r="O45" s="278">
        <f>J45+N45</f>
        <v>2365.5903248340005</v>
      </c>
      <c r="P45" s="2"/>
    </row>
    <row r="46" spans="1:16" x14ac:dyDescent="0.25">
      <c r="A46" s="264">
        <v>7</v>
      </c>
      <c r="B46" s="123"/>
      <c r="C46" s="279"/>
      <c r="D46" s="104" t="s">
        <v>1118</v>
      </c>
      <c r="E46" s="124">
        <v>255.46</v>
      </c>
      <c r="F46" s="272">
        <v>0.1</v>
      </c>
      <c r="G46" s="271">
        <f t="shared" si="6"/>
        <v>281.00600000000003</v>
      </c>
      <c r="H46" s="271" t="s">
        <v>1082</v>
      </c>
      <c r="I46" s="265">
        <v>0.99128250000000007</v>
      </c>
      <c r="J46" s="266">
        <f t="shared" si="7"/>
        <v>278.55633019500004</v>
      </c>
      <c r="K46" s="265">
        <f t="shared" si="8"/>
        <v>83</v>
      </c>
      <c r="L46" s="267">
        <v>7.6540000000000002E-3</v>
      </c>
      <c r="M46" s="267">
        <f t="shared" si="9"/>
        <v>2.1508199240000003</v>
      </c>
      <c r="N46" s="266">
        <f t="shared" ref="N46:N47" si="12">M46*K46</f>
        <v>178.51805369200002</v>
      </c>
      <c r="O46" s="278">
        <f t="shared" ref="O46:O47" si="13">J46+N46</f>
        <v>457.07438388700007</v>
      </c>
      <c r="P46" s="2"/>
    </row>
    <row r="47" spans="1:16" x14ac:dyDescent="0.25">
      <c r="A47" s="264">
        <v>8</v>
      </c>
      <c r="B47" s="123"/>
      <c r="C47" s="279"/>
      <c r="D47" s="104" t="s">
        <v>1119</v>
      </c>
      <c r="E47" s="124">
        <v>118.74</v>
      </c>
      <c r="F47" s="272">
        <v>0.1</v>
      </c>
      <c r="G47" s="271">
        <f t="shared" si="6"/>
        <v>130.614</v>
      </c>
      <c r="H47" s="271" t="s">
        <v>1082</v>
      </c>
      <c r="I47" s="265">
        <v>0.64428750000000001</v>
      </c>
      <c r="J47" s="266">
        <f t="shared" si="7"/>
        <v>84.152967525000008</v>
      </c>
      <c r="K47" s="265">
        <f t="shared" si="8"/>
        <v>83</v>
      </c>
      <c r="L47" s="267">
        <v>6.020000000000001E-3</v>
      </c>
      <c r="M47" s="267">
        <f t="shared" si="9"/>
        <v>0.78629628000000018</v>
      </c>
      <c r="N47" s="266">
        <f t="shared" si="12"/>
        <v>65.26259124000002</v>
      </c>
      <c r="O47" s="278">
        <f t="shared" si="13"/>
        <v>149.41555876500001</v>
      </c>
      <c r="P47" s="2"/>
    </row>
    <row r="48" spans="1:16" ht="15.75" thickBot="1" x14ac:dyDescent="0.3">
      <c r="A48" s="264"/>
      <c r="B48" s="273"/>
      <c r="C48" s="273"/>
      <c r="D48" s="114"/>
      <c r="E48" s="124"/>
      <c r="F48" s="272"/>
      <c r="G48" s="271"/>
      <c r="H48" s="271"/>
      <c r="I48" s="274"/>
      <c r="J48" s="275"/>
      <c r="K48" s="276"/>
      <c r="L48" s="277"/>
      <c r="M48" s="269"/>
      <c r="N48" s="274"/>
      <c r="O48" s="278"/>
      <c r="P48" s="2"/>
    </row>
    <row r="49" spans="1:16" ht="20.100000000000001" customHeight="1" thickBot="1" x14ac:dyDescent="0.3">
      <c r="A49" s="439" t="s">
        <v>1120</v>
      </c>
      <c r="B49" s="440"/>
      <c r="C49" s="440"/>
      <c r="D49" s="441"/>
      <c r="E49" s="224"/>
      <c r="F49" s="272"/>
      <c r="G49" s="271"/>
      <c r="H49" s="271"/>
      <c r="I49" s="274"/>
      <c r="J49" s="275"/>
      <c r="K49" s="276"/>
      <c r="L49" s="277"/>
      <c r="M49" s="269"/>
      <c r="N49" s="274"/>
      <c r="O49" s="278"/>
      <c r="P49" s="2"/>
    </row>
    <row r="50" spans="1:16" x14ac:dyDescent="0.25">
      <c r="A50" s="264">
        <v>1</v>
      </c>
      <c r="B50" s="123"/>
      <c r="C50" s="123" t="s">
        <v>1121</v>
      </c>
      <c r="D50" s="104" t="s">
        <v>1122</v>
      </c>
      <c r="E50" s="124">
        <v>20</v>
      </c>
      <c r="F50" s="272">
        <v>0.1</v>
      </c>
      <c r="G50" s="271">
        <f t="shared" ref="G50:G54" si="14">E50+(E50*F50)</f>
        <v>22</v>
      </c>
      <c r="H50" s="271" t="s">
        <v>1082</v>
      </c>
      <c r="I50" s="265">
        <v>3.9752662500000002</v>
      </c>
      <c r="J50" s="266">
        <f t="shared" ref="J50:J54" si="15">I50*G50</f>
        <v>87.455857500000008</v>
      </c>
      <c r="K50" s="265">
        <f t="shared" ref="K50:K54" si="16">$K$4</f>
        <v>83</v>
      </c>
      <c r="L50" s="267">
        <v>2.58E-2</v>
      </c>
      <c r="M50" s="267">
        <f t="shared" ref="M50:M54" si="17">L50*G50</f>
        <v>0.56759999999999999</v>
      </c>
      <c r="N50" s="266">
        <f t="shared" ref="N50" si="18">M50*K50</f>
        <v>47.110799999999998</v>
      </c>
      <c r="O50" s="278">
        <f t="shared" ref="O50" si="19">J50+N50</f>
        <v>134.56665750000002</v>
      </c>
      <c r="P50" s="2"/>
    </row>
    <row r="51" spans="1:16" x14ac:dyDescent="0.25">
      <c r="A51" s="264">
        <v>2</v>
      </c>
      <c r="B51" s="123"/>
      <c r="C51" s="279"/>
      <c r="D51" s="104" t="s">
        <v>1122</v>
      </c>
      <c r="E51" s="124">
        <v>25</v>
      </c>
      <c r="F51" s="272">
        <v>0.1</v>
      </c>
      <c r="G51" s="271">
        <f t="shared" si="14"/>
        <v>27.5</v>
      </c>
      <c r="H51" s="271" t="s">
        <v>1082</v>
      </c>
      <c r="I51" s="265">
        <v>3.9752662500000002</v>
      </c>
      <c r="J51" s="266">
        <f t="shared" si="15"/>
        <v>109.319821875</v>
      </c>
      <c r="K51" s="265">
        <f t="shared" si="16"/>
        <v>83</v>
      </c>
      <c r="L51" s="267">
        <v>2.58E-2</v>
      </c>
      <c r="M51" s="267">
        <f t="shared" si="17"/>
        <v>0.70950000000000002</v>
      </c>
      <c r="N51" s="266">
        <f>M51*K51</f>
        <v>58.888500000000001</v>
      </c>
      <c r="O51" s="278">
        <f>J51+N51</f>
        <v>168.208321875</v>
      </c>
      <c r="P51" s="2"/>
    </row>
    <row r="52" spans="1:16" x14ac:dyDescent="0.25">
      <c r="A52" s="264">
        <v>4</v>
      </c>
      <c r="B52" s="123"/>
      <c r="C52" s="279"/>
      <c r="D52" s="104" t="s">
        <v>1123</v>
      </c>
      <c r="E52" s="124">
        <v>3</v>
      </c>
      <c r="F52" s="272">
        <v>0</v>
      </c>
      <c r="G52" s="271">
        <f t="shared" si="14"/>
        <v>3</v>
      </c>
      <c r="H52" s="271" t="s">
        <v>250</v>
      </c>
      <c r="I52" s="265">
        <v>36.96</v>
      </c>
      <c r="J52" s="266">
        <f t="shared" si="15"/>
        <v>110.88</v>
      </c>
      <c r="K52" s="265">
        <f t="shared" si="16"/>
        <v>83</v>
      </c>
      <c r="L52" s="267">
        <v>0.8</v>
      </c>
      <c r="M52" s="267">
        <f t="shared" si="17"/>
        <v>2.4000000000000004</v>
      </c>
      <c r="N52" s="266">
        <f>M52*K52</f>
        <v>199.20000000000002</v>
      </c>
      <c r="O52" s="278">
        <f>J52+N52</f>
        <v>310.08000000000004</v>
      </c>
      <c r="P52" s="2"/>
    </row>
    <row r="53" spans="1:16" x14ac:dyDescent="0.25">
      <c r="A53" s="264">
        <v>5</v>
      </c>
      <c r="B53" s="123"/>
      <c r="C53" s="279"/>
      <c r="D53" s="104" t="s">
        <v>1124</v>
      </c>
      <c r="E53" s="124">
        <v>1</v>
      </c>
      <c r="F53" s="272">
        <v>0</v>
      </c>
      <c r="G53" s="271">
        <f t="shared" si="14"/>
        <v>1</v>
      </c>
      <c r="H53" s="271" t="s">
        <v>250</v>
      </c>
      <c r="I53" s="265">
        <v>6.32</v>
      </c>
      <c r="J53" s="266">
        <f t="shared" si="15"/>
        <v>6.32</v>
      </c>
      <c r="K53" s="265">
        <f t="shared" si="16"/>
        <v>83</v>
      </c>
      <c r="L53" s="267">
        <v>0.2</v>
      </c>
      <c r="M53" s="267">
        <f t="shared" si="17"/>
        <v>0.2</v>
      </c>
      <c r="N53" s="266">
        <f>M53*K53</f>
        <v>16.600000000000001</v>
      </c>
      <c r="O53" s="278">
        <f>J53+N53</f>
        <v>22.92</v>
      </c>
      <c r="P53" s="2"/>
    </row>
    <row r="54" spans="1:16" x14ac:dyDescent="0.25">
      <c r="A54" s="264">
        <v>6</v>
      </c>
      <c r="B54" s="123"/>
      <c r="C54" s="279"/>
      <c r="D54" s="104" t="s">
        <v>1125</v>
      </c>
      <c r="E54" s="124">
        <v>4</v>
      </c>
      <c r="F54" s="272">
        <v>0</v>
      </c>
      <c r="G54" s="271">
        <f t="shared" si="14"/>
        <v>4</v>
      </c>
      <c r="H54" s="271" t="s">
        <v>250</v>
      </c>
      <c r="I54" s="265">
        <v>18.88</v>
      </c>
      <c r="J54" s="266">
        <f t="shared" si="15"/>
        <v>75.52</v>
      </c>
      <c r="K54" s="265">
        <f t="shared" si="16"/>
        <v>83</v>
      </c>
      <c r="L54" s="267">
        <v>0.36</v>
      </c>
      <c r="M54" s="267">
        <f t="shared" si="17"/>
        <v>1.44</v>
      </c>
      <c r="N54" s="266">
        <f>M54*K54</f>
        <v>119.52</v>
      </c>
      <c r="O54" s="278">
        <f>J54+N54</f>
        <v>195.04</v>
      </c>
      <c r="P54" s="2"/>
    </row>
    <row r="55" spans="1:16" ht="15.75" thickBot="1" x14ac:dyDescent="0.3">
      <c r="A55" s="264"/>
      <c r="B55" s="273"/>
      <c r="C55" s="273"/>
      <c r="D55" s="114"/>
      <c r="E55" s="124"/>
      <c r="F55" s="272"/>
      <c r="G55" s="271"/>
      <c r="H55" s="271"/>
      <c r="I55" s="274"/>
      <c r="J55" s="275"/>
      <c r="K55" s="276"/>
      <c r="L55" s="277"/>
      <c r="M55" s="269"/>
      <c r="N55" s="274"/>
      <c r="O55" s="278"/>
      <c r="P55" s="2"/>
    </row>
    <row r="56" spans="1:16" ht="20.100000000000001" customHeight="1" thickBot="1" x14ac:dyDescent="0.3">
      <c r="A56" s="439" t="s">
        <v>1126</v>
      </c>
      <c r="B56" s="440"/>
      <c r="C56" s="440"/>
      <c r="D56" s="441"/>
      <c r="E56" s="224"/>
      <c r="F56" s="272"/>
      <c r="G56" s="271"/>
      <c r="H56" s="271"/>
      <c r="I56" s="274"/>
      <c r="J56" s="275"/>
      <c r="K56" s="276"/>
      <c r="L56" s="277"/>
      <c r="M56" s="269"/>
      <c r="N56" s="274"/>
      <c r="O56" s="278"/>
      <c r="P56" s="2"/>
    </row>
    <row r="57" spans="1:16" x14ac:dyDescent="0.25">
      <c r="A57" s="264">
        <v>1</v>
      </c>
      <c r="B57" s="123"/>
      <c r="C57" s="281"/>
      <c r="D57" s="282" t="s">
        <v>1127</v>
      </c>
      <c r="E57" s="124">
        <v>2</v>
      </c>
      <c r="F57" s="272">
        <v>0</v>
      </c>
      <c r="G57" s="271">
        <f t="shared" ref="G57:G59" si="20">E57+(E57*F57)</f>
        <v>2</v>
      </c>
      <c r="H57" s="271" t="s">
        <v>250</v>
      </c>
      <c r="I57" s="265">
        <v>212</v>
      </c>
      <c r="J57" s="266">
        <f t="shared" ref="J57:J59" si="21">I57*G57</f>
        <v>424</v>
      </c>
      <c r="K57" s="265">
        <f t="shared" ref="K57:K59" si="22">$K$4</f>
        <v>83</v>
      </c>
      <c r="L57" s="267">
        <v>2.4</v>
      </c>
      <c r="M57" s="267">
        <f t="shared" ref="M57:M59" si="23">L57*G57</f>
        <v>4.8</v>
      </c>
      <c r="N57" s="274">
        <f t="shared" ref="N57:N59" si="24">K57*M57</f>
        <v>398.4</v>
      </c>
      <c r="O57" s="278">
        <f t="shared" ref="O57:O59" si="25">J57+N57</f>
        <v>822.4</v>
      </c>
      <c r="P57" s="2"/>
    </row>
    <row r="58" spans="1:16" x14ac:dyDescent="0.25">
      <c r="A58" s="264">
        <v>2</v>
      </c>
      <c r="B58" s="123"/>
      <c r="C58" s="281"/>
      <c r="D58" s="282" t="s">
        <v>1128</v>
      </c>
      <c r="E58" s="124">
        <v>1</v>
      </c>
      <c r="F58" s="272">
        <v>0</v>
      </c>
      <c r="G58" s="271">
        <f t="shared" si="20"/>
        <v>1</v>
      </c>
      <c r="H58" s="271" t="s">
        <v>250</v>
      </c>
      <c r="I58" s="265">
        <v>167</v>
      </c>
      <c r="J58" s="266">
        <f t="shared" si="21"/>
        <v>167</v>
      </c>
      <c r="K58" s="265">
        <f t="shared" si="22"/>
        <v>83</v>
      </c>
      <c r="L58" s="267">
        <v>2.6</v>
      </c>
      <c r="M58" s="267">
        <f t="shared" si="23"/>
        <v>2.6</v>
      </c>
      <c r="N58" s="274">
        <f t="shared" si="24"/>
        <v>215.8</v>
      </c>
      <c r="O58" s="278">
        <f t="shared" si="25"/>
        <v>382.8</v>
      </c>
      <c r="P58" s="2"/>
    </row>
    <row r="59" spans="1:16" x14ac:dyDescent="0.25">
      <c r="A59" s="264">
        <v>3</v>
      </c>
      <c r="B59" s="123"/>
      <c r="C59" s="281"/>
      <c r="D59" s="282" t="s">
        <v>1129</v>
      </c>
      <c r="E59" s="124">
        <v>1</v>
      </c>
      <c r="F59" s="272">
        <v>0</v>
      </c>
      <c r="G59" s="271">
        <f t="shared" si="20"/>
        <v>1</v>
      </c>
      <c r="H59" s="271" t="s">
        <v>250</v>
      </c>
      <c r="I59" s="265">
        <v>389</v>
      </c>
      <c r="J59" s="266">
        <f t="shared" si="21"/>
        <v>389</v>
      </c>
      <c r="K59" s="265">
        <f t="shared" si="22"/>
        <v>83</v>
      </c>
      <c r="L59" s="267">
        <v>3.6</v>
      </c>
      <c r="M59" s="267">
        <f t="shared" si="23"/>
        <v>3.6</v>
      </c>
      <c r="N59" s="274">
        <f t="shared" si="24"/>
        <v>298.8</v>
      </c>
      <c r="O59" s="278">
        <f t="shared" si="25"/>
        <v>687.8</v>
      </c>
      <c r="P59" s="2"/>
    </row>
    <row r="60" spans="1:16" ht="15.75" thickBot="1" x14ac:dyDescent="0.3">
      <c r="A60" s="264"/>
      <c r="B60" s="273"/>
      <c r="C60" s="273"/>
      <c r="D60" s="283"/>
      <c r="E60" s="284"/>
      <c r="F60" s="272"/>
      <c r="G60" s="271"/>
      <c r="H60" s="271"/>
      <c r="I60" s="274"/>
      <c r="J60" s="275"/>
      <c r="K60" s="274"/>
      <c r="L60" s="277"/>
      <c r="M60" s="277"/>
      <c r="N60" s="274"/>
      <c r="O60" s="285"/>
      <c r="P60" s="2"/>
    </row>
    <row r="61" spans="1:16" ht="20.100000000000001" customHeight="1" thickBot="1" x14ac:dyDescent="0.3">
      <c r="A61" s="439" t="s">
        <v>1130</v>
      </c>
      <c r="B61" s="440"/>
      <c r="C61" s="440"/>
      <c r="D61" s="441"/>
      <c r="E61" s="286"/>
      <c r="F61" s="272"/>
      <c r="G61" s="271"/>
      <c r="H61" s="271"/>
      <c r="I61" s="287"/>
      <c r="J61" s="275"/>
      <c r="K61" s="274"/>
      <c r="L61" s="277"/>
      <c r="M61" s="277"/>
      <c r="N61" s="274"/>
      <c r="O61" s="285"/>
      <c r="P61" s="2"/>
    </row>
    <row r="62" spans="1:16" x14ac:dyDescent="0.25">
      <c r="A62" s="264">
        <v>1</v>
      </c>
      <c r="B62" s="123"/>
      <c r="C62" s="279"/>
      <c r="D62" s="288" t="s">
        <v>1131</v>
      </c>
      <c r="E62" s="124">
        <v>7</v>
      </c>
      <c r="F62" s="272">
        <v>0</v>
      </c>
      <c r="G62" s="271">
        <f t="shared" ref="G62:G72" si="26">E62+(E62*F62)</f>
        <v>7</v>
      </c>
      <c r="H62" s="271" t="s">
        <v>250</v>
      </c>
      <c r="I62" s="265">
        <v>24.896249999999998</v>
      </c>
      <c r="J62" s="266">
        <f t="shared" ref="J62:J72" si="27">I62*G62</f>
        <v>174.27374999999998</v>
      </c>
      <c r="K62" s="265">
        <f t="shared" ref="K62:K72" si="28">$K$4</f>
        <v>83</v>
      </c>
      <c r="L62" s="267">
        <v>0.16124999999999998</v>
      </c>
      <c r="M62" s="267">
        <f t="shared" ref="M62:M72" si="29">L62*G62</f>
        <v>1.1287499999999999</v>
      </c>
      <c r="N62" s="266">
        <f t="shared" ref="N62:N72" si="30">M62*K62</f>
        <v>93.686249999999987</v>
      </c>
      <c r="O62" s="278">
        <f t="shared" ref="O62:O72" si="31">J62+N62</f>
        <v>267.95999999999998</v>
      </c>
      <c r="P62" s="2"/>
    </row>
    <row r="63" spans="1:16" x14ac:dyDescent="0.25">
      <c r="A63" s="264">
        <v>2</v>
      </c>
      <c r="B63" s="123"/>
      <c r="C63" s="279"/>
      <c r="D63" s="288" t="s">
        <v>1132</v>
      </c>
      <c r="E63" s="124">
        <v>66</v>
      </c>
      <c r="F63" s="272">
        <v>0</v>
      </c>
      <c r="G63" s="271">
        <f t="shared" si="26"/>
        <v>66</v>
      </c>
      <c r="H63" s="271" t="s">
        <v>250</v>
      </c>
      <c r="I63" s="265">
        <v>24.896249999999998</v>
      </c>
      <c r="J63" s="266">
        <f t="shared" si="27"/>
        <v>1643.1524999999999</v>
      </c>
      <c r="K63" s="265">
        <f t="shared" si="28"/>
        <v>83</v>
      </c>
      <c r="L63" s="267">
        <v>0.16124999999999998</v>
      </c>
      <c r="M63" s="267">
        <f t="shared" si="29"/>
        <v>10.642499999999998</v>
      </c>
      <c r="N63" s="266">
        <f t="shared" si="30"/>
        <v>883.32749999999987</v>
      </c>
      <c r="O63" s="278">
        <f t="shared" si="31"/>
        <v>2526.4799999999996</v>
      </c>
      <c r="P63" s="2"/>
    </row>
    <row r="64" spans="1:16" x14ac:dyDescent="0.25">
      <c r="A64" s="264">
        <v>3</v>
      </c>
      <c r="B64" s="123"/>
      <c r="C64" s="279"/>
      <c r="D64" s="288" t="s">
        <v>1133</v>
      </c>
      <c r="E64" s="124">
        <v>1</v>
      </c>
      <c r="F64" s="272">
        <v>0</v>
      </c>
      <c r="G64" s="271">
        <f t="shared" si="26"/>
        <v>1</v>
      </c>
      <c r="H64" s="271" t="s">
        <v>250</v>
      </c>
      <c r="I64" s="265">
        <v>132</v>
      </c>
      <c r="J64" s="266">
        <f t="shared" si="27"/>
        <v>132</v>
      </c>
      <c r="K64" s="265">
        <f t="shared" si="28"/>
        <v>83</v>
      </c>
      <c r="L64" s="267">
        <v>0.43</v>
      </c>
      <c r="M64" s="267">
        <f t="shared" si="29"/>
        <v>0.43</v>
      </c>
      <c r="N64" s="266">
        <f t="shared" si="30"/>
        <v>35.69</v>
      </c>
      <c r="O64" s="278">
        <f t="shared" si="31"/>
        <v>167.69</v>
      </c>
      <c r="P64" s="2"/>
    </row>
    <row r="65" spans="1:16" x14ac:dyDescent="0.25">
      <c r="A65" s="264">
        <v>4</v>
      </c>
      <c r="B65" s="123"/>
      <c r="C65" s="279"/>
      <c r="D65" s="288" t="s">
        <v>1134</v>
      </c>
      <c r="E65" s="124">
        <v>2</v>
      </c>
      <c r="F65" s="272">
        <v>0</v>
      </c>
      <c r="G65" s="271">
        <f t="shared" si="26"/>
        <v>2</v>
      </c>
      <c r="H65" s="271" t="s">
        <v>250</v>
      </c>
      <c r="I65" s="265">
        <v>52.3125</v>
      </c>
      <c r="J65" s="266">
        <f t="shared" si="27"/>
        <v>104.625</v>
      </c>
      <c r="K65" s="265">
        <f t="shared" si="28"/>
        <v>83</v>
      </c>
      <c r="L65" s="267">
        <v>0.26874999999999999</v>
      </c>
      <c r="M65" s="267">
        <f t="shared" si="29"/>
        <v>0.53749999999999998</v>
      </c>
      <c r="N65" s="266">
        <f t="shared" si="30"/>
        <v>44.612499999999997</v>
      </c>
      <c r="O65" s="278">
        <f t="shared" si="31"/>
        <v>149.23750000000001</v>
      </c>
      <c r="P65" s="2"/>
    </row>
    <row r="66" spans="1:16" x14ac:dyDescent="0.25">
      <c r="A66" s="264">
        <v>5</v>
      </c>
      <c r="B66" s="123"/>
      <c r="C66" s="279"/>
      <c r="D66" s="288" t="s">
        <v>1135</v>
      </c>
      <c r="E66" s="124">
        <v>1</v>
      </c>
      <c r="F66" s="272">
        <v>0</v>
      </c>
      <c r="G66" s="271">
        <f t="shared" si="26"/>
        <v>1</v>
      </c>
      <c r="H66" s="271" t="s">
        <v>250</v>
      </c>
      <c r="I66" s="265">
        <v>132</v>
      </c>
      <c r="J66" s="266">
        <f t="shared" si="27"/>
        <v>132</v>
      </c>
      <c r="K66" s="265">
        <f t="shared" si="28"/>
        <v>83</v>
      </c>
      <c r="L66" s="267">
        <v>0.43</v>
      </c>
      <c r="M66" s="267">
        <f t="shared" si="29"/>
        <v>0.43</v>
      </c>
      <c r="N66" s="266">
        <f t="shared" si="30"/>
        <v>35.69</v>
      </c>
      <c r="O66" s="278">
        <f t="shared" si="31"/>
        <v>167.69</v>
      </c>
      <c r="P66" s="2"/>
    </row>
    <row r="67" spans="1:16" x14ac:dyDescent="0.25">
      <c r="A67" s="264">
        <v>6</v>
      </c>
      <c r="B67" s="123"/>
      <c r="C67" s="279"/>
      <c r="D67" s="288" t="s">
        <v>1136</v>
      </c>
      <c r="E67" s="124">
        <v>2</v>
      </c>
      <c r="F67" s="272">
        <v>0</v>
      </c>
      <c r="G67" s="271">
        <f t="shared" si="26"/>
        <v>2</v>
      </c>
      <c r="H67" s="271" t="s">
        <v>250</v>
      </c>
      <c r="I67" s="265">
        <v>219</v>
      </c>
      <c r="J67" s="266">
        <f t="shared" si="27"/>
        <v>438</v>
      </c>
      <c r="K67" s="265">
        <f t="shared" si="28"/>
        <v>83</v>
      </c>
      <c r="L67" s="267">
        <v>0.43</v>
      </c>
      <c r="M67" s="267">
        <f t="shared" si="29"/>
        <v>0.86</v>
      </c>
      <c r="N67" s="266">
        <f t="shared" si="30"/>
        <v>71.38</v>
      </c>
      <c r="O67" s="278">
        <f t="shared" si="31"/>
        <v>509.38</v>
      </c>
      <c r="P67" s="2"/>
    </row>
    <row r="68" spans="1:16" x14ac:dyDescent="0.25">
      <c r="A68" s="264">
        <v>7</v>
      </c>
      <c r="B68" s="123"/>
      <c r="C68" s="279"/>
      <c r="D68" s="288" t="s">
        <v>1137</v>
      </c>
      <c r="E68" s="124">
        <v>1</v>
      </c>
      <c r="F68" s="272">
        <v>0</v>
      </c>
      <c r="G68" s="271">
        <f t="shared" si="26"/>
        <v>1</v>
      </c>
      <c r="H68" s="271" t="s">
        <v>250</v>
      </c>
      <c r="I68" s="265">
        <v>230</v>
      </c>
      <c r="J68" s="266">
        <f t="shared" si="27"/>
        <v>230</v>
      </c>
      <c r="K68" s="265">
        <f t="shared" si="28"/>
        <v>83</v>
      </c>
      <c r="L68" s="267">
        <v>0.6</v>
      </c>
      <c r="M68" s="267">
        <f t="shared" si="29"/>
        <v>0.6</v>
      </c>
      <c r="N68" s="266">
        <f t="shared" si="30"/>
        <v>49.8</v>
      </c>
      <c r="O68" s="278">
        <f t="shared" si="31"/>
        <v>279.8</v>
      </c>
      <c r="P68" s="2"/>
    </row>
    <row r="69" spans="1:16" x14ac:dyDescent="0.25">
      <c r="A69" s="264">
        <v>8</v>
      </c>
      <c r="B69" s="123"/>
      <c r="C69" s="279"/>
      <c r="D69" s="288" t="s">
        <v>1138</v>
      </c>
      <c r="E69" s="124">
        <v>1</v>
      </c>
      <c r="F69" s="272">
        <v>0</v>
      </c>
      <c r="G69" s="271">
        <f t="shared" si="26"/>
        <v>1</v>
      </c>
      <c r="H69" s="271" t="s">
        <v>250</v>
      </c>
      <c r="I69" s="265">
        <v>262</v>
      </c>
      <c r="J69" s="266">
        <f t="shared" si="27"/>
        <v>262</v>
      </c>
      <c r="K69" s="265">
        <f t="shared" si="28"/>
        <v>83</v>
      </c>
      <c r="L69" s="267">
        <v>0.8</v>
      </c>
      <c r="M69" s="267">
        <f t="shared" si="29"/>
        <v>0.8</v>
      </c>
      <c r="N69" s="266">
        <f t="shared" si="30"/>
        <v>66.400000000000006</v>
      </c>
      <c r="O69" s="278">
        <f t="shared" si="31"/>
        <v>328.4</v>
      </c>
      <c r="P69" s="2"/>
    </row>
    <row r="70" spans="1:16" x14ac:dyDescent="0.25">
      <c r="A70" s="264">
        <v>9</v>
      </c>
      <c r="B70" s="123"/>
      <c r="C70" s="279"/>
      <c r="D70" s="288" t="s">
        <v>1139</v>
      </c>
      <c r="E70" s="124">
        <v>4</v>
      </c>
      <c r="F70" s="272">
        <v>0</v>
      </c>
      <c r="G70" s="271">
        <f t="shared" si="26"/>
        <v>4</v>
      </c>
      <c r="H70" s="271" t="s">
        <v>250</v>
      </c>
      <c r="I70" s="265">
        <v>318.14999999999998</v>
      </c>
      <c r="J70" s="266">
        <f t="shared" si="27"/>
        <v>1272.5999999999999</v>
      </c>
      <c r="K70" s="265">
        <f t="shared" si="28"/>
        <v>83</v>
      </c>
      <c r="L70" s="267">
        <v>1</v>
      </c>
      <c r="M70" s="267">
        <f t="shared" si="29"/>
        <v>4</v>
      </c>
      <c r="N70" s="266">
        <f t="shared" si="30"/>
        <v>332</v>
      </c>
      <c r="O70" s="278">
        <f t="shared" si="31"/>
        <v>1604.6</v>
      </c>
      <c r="P70" s="2"/>
    </row>
    <row r="71" spans="1:16" x14ac:dyDescent="0.25">
      <c r="A71" s="264">
        <v>10</v>
      </c>
      <c r="B71" s="123"/>
      <c r="C71" s="279"/>
      <c r="D71" s="288" t="s">
        <v>1140</v>
      </c>
      <c r="E71" s="124">
        <v>1</v>
      </c>
      <c r="F71" s="272">
        <v>0</v>
      </c>
      <c r="G71" s="271">
        <f t="shared" si="26"/>
        <v>1</v>
      </c>
      <c r="H71" s="271" t="s">
        <v>250</v>
      </c>
      <c r="I71" s="265">
        <v>391.15</v>
      </c>
      <c r="J71" s="266">
        <f t="shared" si="27"/>
        <v>391.15</v>
      </c>
      <c r="K71" s="265">
        <f t="shared" si="28"/>
        <v>83</v>
      </c>
      <c r="L71" s="267">
        <v>1.2</v>
      </c>
      <c r="M71" s="267">
        <f t="shared" si="29"/>
        <v>1.2</v>
      </c>
      <c r="N71" s="266">
        <f t="shared" si="30"/>
        <v>99.6</v>
      </c>
      <c r="O71" s="278">
        <f t="shared" si="31"/>
        <v>490.75</v>
      </c>
      <c r="P71" s="2"/>
    </row>
    <row r="72" spans="1:16" x14ac:dyDescent="0.25">
      <c r="A72" s="264">
        <v>11</v>
      </c>
      <c r="B72" s="123"/>
      <c r="C72" s="279"/>
      <c r="D72" s="288" t="s">
        <v>1141</v>
      </c>
      <c r="E72" s="124">
        <v>1</v>
      </c>
      <c r="F72" s="272">
        <v>0</v>
      </c>
      <c r="G72" s="271">
        <f t="shared" si="26"/>
        <v>1</v>
      </c>
      <c r="H72" s="271" t="s">
        <v>250</v>
      </c>
      <c r="I72" s="265">
        <v>889</v>
      </c>
      <c r="J72" s="266">
        <f t="shared" si="27"/>
        <v>889</v>
      </c>
      <c r="K72" s="265">
        <f t="shared" si="28"/>
        <v>83</v>
      </c>
      <c r="L72" s="267">
        <v>2.4</v>
      </c>
      <c r="M72" s="267">
        <f t="shared" si="29"/>
        <v>2.4</v>
      </c>
      <c r="N72" s="266">
        <f t="shared" si="30"/>
        <v>199.2</v>
      </c>
      <c r="O72" s="278">
        <f t="shared" si="31"/>
        <v>1088.2</v>
      </c>
      <c r="P72" s="2"/>
    </row>
    <row r="73" spans="1:16" ht="15.75" thickBot="1" x14ac:dyDescent="0.3">
      <c r="A73" s="264"/>
      <c r="B73" s="273"/>
      <c r="C73" s="273"/>
      <c r="D73" s="283"/>
      <c r="E73" s="284"/>
      <c r="F73" s="272"/>
      <c r="G73" s="271"/>
      <c r="H73" s="271"/>
      <c r="I73" s="274"/>
      <c r="J73" s="275"/>
      <c r="K73" s="274"/>
      <c r="L73" s="277"/>
      <c r="M73" s="277"/>
      <c r="N73" s="274"/>
      <c r="O73" s="285"/>
      <c r="P73" s="2"/>
    </row>
    <row r="74" spans="1:16" ht="20.100000000000001" customHeight="1" thickBot="1" x14ac:dyDescent="0.3">
      <c r="A74" s="439" t="s">
        <v>1142</v>
      </c>
      <c r="B74" s="440"/>
      <c r="C74" s="440"/>
      <c r="D74" s="441"/>
      <c r="E74" s="289"/>
      <c r="F74" s="272"/>
      <c r="G74" s="271"/>
      <c r="H74" s="271"/>
      <c r="I74" s="274"/>
      <c r="J74" s="275"/>
      <c r="K74" s="274"/>
      <c r="L74" s="277"/>
      <c r="M74" s="277"/>
      <c r="N74" s="274"/>
      <c r="O74" s="285"/>
      <c r="P74" s="2"/>
    </row>
    <row r="75" spans="1:16" ht="45" x14ac:dyDescent="0.25">
      <c r="A75" s="264">
        <v>1</v>
      </c>
      <c r="B75" s="123"/>
      <c r="C75" s="279"/>
      <c r="D75" s="89" t="s">
        <v>1143</v>
      </c>
      <c r="E75" s="124">
        <v>1</v>
      </c>
      <c r="F75" s="272">
        <v>0</v>
      </c>
      <c r="G75" s="271">
        <f t="shared" ref="G75:G83" si="32">E75+(E75*F75)</f>
        <v>1</v>
      </c>
      <c r="H75" s="271" t="s">
        <v>250</v>
      </c>
      <c r="I75" s="287">
        <v>3865</v>
      </c>
      <c r="J75" s="266">
        <f t="shared" ref="J75:J83" si="33">I75*G75</f>
        <v>3865</v>
      </c>
      <c r="K75" s="265">
        <f t="shared" ref="K75:K83" si="34">$K$4</f>
        <v>83</v>
      </c>
      <c r="L75" s="277">
        <v>6.6</v>
      </c>
      <c r="M75" s="267">
        <f t="shared" ref="M75:M83" si="35">L75*G75</f>
        <v>6.6</v>
      </c>
      <c r="N75" s="274">
        <f>K75*M75</f>
        <v>547.79999999999995</v>
      </c>
      <c r="O75" s="278">
        <f>J75+N75</f>
        <v>4412.8</v>
      </c>
      <c r="P75" s="2"/>
    </row>
    <row r="76" spans="1:16" ht="45" x14ac:dyDescent="0.25">
      <c r="A76" s="264">
        <v>2</v>
      </c>
      <c r="B76" s="123"/>
      <c r="C76" s="279"/>
      <c r="D76" s="89" t="s">
        <v>1144</v>
      </c>
      <c r="E76" s="124">
        <v>1</v>
      </c>
      <c r="F76" s="272">
        <v>0</v>
      </c>
      <c r="G76" s="271">
        <f t="shared" si="32"/>
        <v>1</v>
      </c>
      <c r="H76" s="271" t="s">
        <v>250</v>
      </c>
      <c r="I76" s="287">
        <v>3865</v>
      </c>
      <c r="J76" s="266">
        <f t="shared" si="33"/>
        <v>3865</v>
      </c>
      <c r="K76" s="265">
        <f t="shared" si="34"/>
        <v>83</v>
      </c>
      <c r="L76" s="277">
        <v>6.6</v>
      </c>
      <c r="M76" s="267">
        <f t="shared" si="35"/>
        <v>6.6</v>
      </c>
      <c r="N76" s="274">
        <f>K76*M76</f>
        <v>547.79999999999995</v>
      </c>
      <c r="O76" s="278">
        <f>J76+N76</f>
        <v>4412.8</v>
      </c>
      <c r="P76" s="2"/>
    </row>
    <row r="77" spans="1:16" ht="45" x14ac:dyDescent="0.25">
      <c r="A77" s="264">
        <v>3</v>
      </c>
      <c r="B77" s="123"/>
      <c r="C77" s="123"/>
      <c r="D77" s="89" t="s">
        <v>1145</v>
      </c>
      <c r="E77" s="280">
        <v>1</v>
      </c>
      <c r="F77" s="272">
        <v>0</v>
      </c>
      <c r="G77" s="271">
        <f t="shared" si="32"/>
        <v>1</v>
      </c>
      <c r="H77" s="271" t="s">
        <v>250</v>
      </c>
      <c r="I77" s="287">
        <v>3865</v>
      </c>
      <c r="J77" s="266">
        <f t="shared" si="33"/>
        <v>3865</v>
      </c>
      <c r="K77" s="265">
        <f t="shared" si="34"/>
        <v>83</v>
      </c>
      <c r="L77" s="267">
        <v>6.6</v>
      </c>
      <c r="M77" s="267">
        <f t="shared" si="35"/>
        <v>6.6</v>
      </c>
      <c r="N77" s="266">
        <f t="shared" ref="N77:N83" si="36">M77*K77</f>
        <v>547.79999999999995</v>
      </c>
      <c r="O77" s="278">
        <f t="shared" ref="O77:O83" si="37">J77+N77</f>
        <v>4412.8</v>
      </c>
      <c r="P77" s="2"/>
    </row>
    <row r="78" spans="1:16" ht="45" x14ac:dyDescent="0.25">
      <c r="A78" s="264">
        <v>4</v>
      </c>
      <c r="B78" s="123"/>
      <c r="C78" s="123"/>
      <c r="D78" s="89" t="s">
        <v>1146</v>
      </c>
      <c r="E78" s="284">
        <v>1</v>
      </c>
      <c r="F78" s="272">
        <v>0</v>
      </c>
      <c r="G78" s="271">
        <f t="shared" si="32"/>
        <v>1</v>
      </c>
      <c r="H78" s="271" t="s">
        <v>250</v>
      </c>
      <c r="I78" s="265">
        <v>6117</v>
      </c>
      <c r="J78" s="266">
        <f t="shared" si="33"/>
        <v>6117</v>
      </c>
      <c r="K78" s="265">
        <f t="shared" si="34"/>
        <v>83</v>
      </c>
      <c r="L78" s="267">
        <v>13.85</v>
      </c>
      <c r="M78" s="267">
        <f t="shared" si="35"/>
        <v>13.85</v>
      </c>
      <c r="N78" s="266">
        <f t="shared" si="36"/>
        <v>1149.55</v>
      </c>
      <c r="O78" s="278">
        <f t="shared" si="37"/>
        <v>7266.55</v>
      </c>
      <c r="P78" s="2"/>
    </row>
    <row r="79" spans="1:16" ht="45" x14ac:dyDescent="0.25">
      <c r="A79" s="264">
        <v>5</v>
      </c>
      <c r="B79" s="123"/>
      <c r="C79" s="123"/>
      <c r="D79" s="89" t="s">
        <v>1147</v>
      </c>
      <c r="E79" s="280">
        <v>1</v>
      </c>
      <c r="F79" s="272">
        <v>0</v>
      </c>
      <c r="G79" s="271">
        <f t="shared" si="32"/>
        <v>1</v>
      </c>
      <c r="H79" s="271" t="s">
        <v>250</v>
      </c>
      <c r="I79" s="287">
        <v>3865</v>
      </c>
      <c r="J79" s="266">
        <f t="shared" si="33"/>
        <v>3865</v>
      </c>
      <c r="K79" s="265">
        <f t="shared" si="34"/>
        <v>83</v>
      </c>
      <c r="L79" s="267">
        <v>6.6</v>
      </c>
      <c r="M79" s="267">
        <f t="shared" si="35"/>
        <v>6.6</v>
      </c>
      <c r="N79" s="266">
        <f t="shared" si="36"/>
        <v>547.79999999999995</v>
      </c>
      <c r="O79" s="278">
        <f t="shared" si="37"/>
        <v>4412.8</v>
      </c>
      <c r="P79" s="2"/>
    </row>
    <row r="80" spans="1:16" ht="45" x14ac:dyDescent="0.25">
      <c r="A80" s="264">
        <v>6</v>
      </c>
      <c r="B80" s="123"/>
      <c r="C80" s="123"/>
      <c r="D80" s="89" t="s">
        <v>1148</v>
      </c>
      <c r="E80" s="124">
        <v>1</v>
      </c>
      <c r="F80" s="272">
        <v>0</v>
      </c>
      <c r="G80" s="271">
        <f t="shared" si="32"/>
        <v>1</v>
      </c>
      <c r="H80" s="271" t="s">
        <v>250</v>
      </c>
      <c r="I80" s="287">
        <v>3865</v>
      </c>
      <c r="J80" s="266">
        <f t="shared" si="33"/>
        <v>3865</v>
      </c>
      <c r="K80" s="265">
        <f t="shared" si="34"/>
        <v>83</v>
      </c>
      <c r="L80" s="267">
        <v>6.6</v>
      </c>
      <c r="M80" s="267">
        <f t="shared" si="35"/>
        <v>6.6</v>
      </c>
      <c r="N80" s="266">
        <f t="shared" si="36"/>
        <v>547.79999999999995</v>
      </c>
      <c r="O80" s="278">
        <f t="shared" si="37"/>
        <v>4412.8</v>
      </c>
      <c r="P80" s="2"/>
    </row>
    <row r="81" spans="1:16" ht="45" x14ac:dyDescent="0.25">
      <c r="A81" s="264">
        <v>7</v>
      </c>
      <c r="B81" s="123"/>
      <c r="C81" s="123"/>
      <c r="D81" s="89" t="s">
        <v>1149</v>
      </c>
      <c r="E81" s="124">
        <v>1</v>
      </c>
      <c r="F81" s="272">
        <v>0</v>
      </c>
      <c r="G81" s="271">
        <f t="shared" si="32"/>
        <v>1</v>
      </c>
      <c r="H81" s="271" t="s">
        <v>250</v>
      </c>
      <c r="I81" s="287">
        <v>3865</v>
      </c>
      <c r="J81" s="266">
        <f t="shared" si="33"/>
        <v>3865</v>
      </c>
      <c r="K81" s="265">
        <f t="shared" si="34"/>
        <v>83</v>
      </c>
      <c r="L81" s="267">
        <v>6.6</v>
      </c>
      <c r="M81" s="267">
        <f t="shared" si="35"/>
        <v>6.6</v>
      </c>
      <c r="N81" s="266">
        <f t="shared" si="36"/>
        <v>547.79999999999995</v>
      </c>
      <c r="O81" s="278">
        <f t="shared" si="37"/>
        <v>4412.8</v>
      </c>
      <c r="P81" s="2"/>
    </row>
    <row r="82" spans="1:16" ht="45" x14ac:dyDescent="0.25">
      <c r="A82" s="264">
        <v>8</v>
      </c>
      <c r="B82" s="123"/>
      <c r="C82" s="123"/>
      <c r="D82" s="89" t="s">
        <v>1150</v>
      </c>
      <c r="E82" s="124">
        <v>1</v>
      </c>
      <c r="F82" s="272">
        <v>0</v>
      </c>
      <c r="G82" s="271">
        <f t="shared" si="32"/>
        <v>1</v>
      </c>
      <c r="H82" s="271" t="s">
        <v>250</v>
      </c>
      <c r="I82" s="287">
        <v>3865</v>
      </c>
      <c r="J82" s="266">
        <f t="shared" si="33"/>
        <v>3865</v>
      </c>
      <c r="K82" s="265">
        <f t="shared" si="34"/>
        <v>83</v>
      </c>
      <c r="L82" s="267">
        <v>6.6</v>
      </c>
      <c r="M82" s="267">
        <f t="shared" si="35"/>
        <v>6.6</v>
      </c>
      <c r="N82" s="266">
        <f t="shared" si="36"/>
        <v>547.79999999999995</v>
      </c>
      <c r="O82" s="278">
        <f t="shared" si="37"/>
        <v>4412.8</v>
      </c>
      <c r="P82" s="2"/>
    </row>
    <row r="83" spans="1:16" x14ac:dyDescent="0.25">
      <c r="A83" s="264">
        <v>9</v>
      </c>
      <c r="B83" s="123"/>
      <c r="C83" s="123"/>
      <c r="D83" s="220" t="s">
        <v>1151</v>
      </c>
      <c r="E83" s="124">
        <v>1</v>
      </c>
      <c r="F83" s="272">
        <v>0</v>
      </c>
      <c r="G83" s="271">
        <f t="shared" si="32"/>
        <v>1</v>
      </c>
      <c r="H83" s="271" t="s">
        <v>250</v>
      </c>
      <c r="I83" s="290"/>
      <c r="J83" s="266">
        <f t="shared" si="33"/>
        <v>0</v>
      </c>
      <c r="K83" s="265">
        <f t="shared" si="34"/>
        <v>83</v>
      </c>
      <c r="L83" s="267"/>
      <c r="M83" s="267">
        <f t="shared" si="35"/>
        <v>0</v>
      </c>
      <c r="N83" s="266">
        <f t="shared" si="36"/>
        <v>0</v>
      </c>
      <c r="O83" s="278">
        <f t="shared" si="37"/>
        <v>0</v>
      </c>
      <c r="P83" s="2"/>
    </row>
    <row r="84" spans="1:16" ht="15.75" thickBot="1" x14ac:dyDescent="0.3">
      <c r="A84" s="264"/>
      <c r="B84" s="273"/>
      <c r="C84" s="273"/>
      <c r="D84" s="283"/>
      <c r="E84" s="284"/>
      <c r="F84" s="272"/>
      <c r="G84" s="271"/>
      <c r="H84" s="271"/>
      <c r="I84" s="274"/>
      <c r="J84" s="275"/>
      <c r="K84" s="274"/>
      <c r="L84" s="277"/>
      <c r="M84" s="277"/>
      <c r="N84" s="274"/>
      <c r="O84" s="285"/>
      <c r="P84" s="2"/>
    </row>
    <row r="85" spans="1:16" ht="20.100000000000001" customHeight="1" thickBot="1" x14ac:dyDescent="0.3">
      <c r="A85" s="439" t="s">
        <v>64</v>
      </c>
      <c r="B85" s="440"/>
      <c r="C85" s="440"/>
      <c r="D85" s="441"/>
      <c r="E85" s="289"/>
      <c r="F85" s="272"/>
      <c r="G85" s="271"/>
      <c r="H85" s="271"/>
      <c r="I85" s="274"/>
      <c r="J85" s="275"/>
      <c r="K85" s="274"/>
      <c r="L85" s="277"/>
      <c r="M85" s="277"/>
      <c r="N85" s="274"/>
      <c r="O85" s="285"/>
      <c r="P85" s="2"/>
    </row>
    <row r="86" spans="1:16" x14ac:dyDescent="0.25">
      <c r="A86" s="264">
        <v>1</v>
      </c>
      <c r="B86" s="123"/>
      <c r="C86" s="123"/>
      <c r="D86" s="220" t="s">
        <v>1152</v>
      </c>
      <c r="E86" s="280">
        <v>1</v>
      </c>
      <c r="F86" s="272">
        <v>0</v>
      </c>
      <c r="G86" s="271">
        <f>E86+(E86*F86)</f>
        <v>1</v>
      </c>
      <c r="H86" s="271" t="s">
        <v>250</v>
      </c>
      <c r="I86" s="265">
        <v>117</v>
      </c>
      <c r="J86" s="266">
        <f>I86*G86</f>
        <v>117</v>
      </c>
      <c r="K86" s="265">
        <f>$K$4</f>
        <v>83</v>
      </c>
      <c r="L86" s="267">
        <v>1.8</v>
      </c>
      <c r="M86" s="267">
        <f>L86*G86</f>
        <v>1.8</v>
      </c>
      <c r="N86" s="266">
        <f t="shared" ref="N86:N88" si="38">M86*K86</f>
        <v>149.4</v>
      </c>
      <c r="O86" s="278">
        <f t="shared" ref="O86:O88" si="39">J86+N86</f>
        <v>266.39999999999998</v>
      </c>
      <c r="P86" s="2"/>
    </row>
    <row r="87" spans="1:16" x14ac:dyDescent="0.25">
      <c r="A87" s="264">
        <v>2</v>
      </c>
      <c r="B87" s="123"/>
      <c r="C87" s="123"/>
      <c r="D87" s="220" t="s">
        <v>1153</v>
      </c>
      <c r="E87" s="280">
        <v>3</v>
      </c>
      <c r="F87" s="272">
        <v>0</v>
      </c>
      <c r="G87" s="271">
        <f>E87+(E87*F87)</f>
        <v>3</v>
      </c>
      <c r="H87" s="271" t="s">
        <v>250</v>
      </c>
      <c r="I87" s="265">
        <v>142</v>
      </c>
      <c r="J87" s="266">
        <f>I87*G87</f>
        <v>426</v>
      </c>
      <c r="K87" s="265">
        <f>$K$4</f>
        <v>83</v>
      </c>
      <c r="L87" s="267">
        <v>2</v>
      </c>
      <c r="M87" s="267">
        <f>L87*G87</f>
        <v>6</v>
      </c>
      <c r="N87" s="266">
        <f t="shared" si="38"/>
        <v>498</v>
      </c>
      <c r="O87" s="278">
        <f t="shared" si="39"/>
        <v>924</v>
      </c>
      <c r="P87" s="2"/>
    </row>
    <row r="88" spans="1:16" x14ac:dyDescent="0.25">
      <c r="A88" s="264">
        <v>3</v>
      </c>
      <c r="B88" s="123"/>
      <c r="C88" s="123"/>
      <c r="D88" s="220" t="s">
        <v>1154</v>
      </c>
      <c r="E88" s="124">
        <v>1</v>
      </c>
      <c r="F88" s="272">
        <v>0</v>
      </c>
      <c r="G88" s="271">
        <f>E88+(E88*F88)</f>
        <v>1</v>
      </c>
      <c r="H88" s="271" t="s">
        <v>250</v>
      </c>
      <c r="I88" s="265">
        <v>168</v>
      </c>
      <c r="J88" s="266">
        <f>I88*G88</f>
        <v>168</v>
      </c>
      <c r="K88" s="265">
        <f>$K$4</f>
        <v>83</v>
      </c>
      <c r="L88" s="267">
        <v>2.4</v>
      </c>
      <c r="M88" s="267">
        <f>L88*G88</f>
        <v>2.4</v>
      </c>
      <c r="N88" s="266">
        <f t="shared" si="38"/>
        <v>199.2</v>
      </c>
      <c r="O88" s="278">
        <f t="shared" si="39"/>
        <v>367.2</v>
      </c>
      <c r="P88" s="2"/>
    </row>
    <row r="89" spans="1:16" ht="15.75" thickBot="1" x14ac:dyDescent="0.3">
      <c r="A89" s="264"/>
      <c r="B89" s="273"/>
      <c r="C89" s="273"/>
      <c r="D89" s="283"/>
      <c r="E89" s="284"/>
      <c r="F89" s="272"/>
      <c r="G89" s="271"/>
      <c r="H89" s="271"/>
      <c r="I89" s="274"/>
      <c r="J89" s="275"/>
      <c r="K89" s="274"/>
      <c r="L89" s="277"/>
      <c r="M89" s="277"/>
      <c r="N89" s="274"/>
      <c r="O89" s="285"/>
      <c r="P89" s="2"/>
    </row>
    <row r="90" spans="1:16" ht="20.100000000000001" customHeight="1" thickBot="1" x14ac:dyDescent="0.3">
      <c r="A90" s="439" t="s">
        <v>978</v>
      </c>
      <c r="B90" s="440"/>
      <c r="C90" s="440"/>
      <c r="D90" s="441"/>
      <c r="E90" s="289"/>
      <c r="F90" s="272"/>
      <c r="G90" s="271"/>
      <c r="H90" s="271"/>
      <c r="I90" s="274"/>
      <c r="J90" s="275"/>
      <c r="K90" s="274"/>
      <c r="L90" s="277"/>
      <c r="M90" s="277"/>
      <c r="N90" s="274"/>
      <c r="O90" s="285"/>
      <c r="P90" s="2"/>
    </row>
    <row r="91" spans="1:16" x14ac:dyDescent="0.25">
      <c r="A91" s="264">
        <v>1</v>
      </c>
      <c r="B91" s="123"/>
      <c r="C91" s="123"/>
      <c r="D91" s="220" t="s">
        <v>1155</v>
      </c>
      <c r="E91" s="280">
        <v>96</v>
      </c>
      <c r="F91" s="272">
        <v>0</v>
      </c>
      <c r="G91" s="271">
        <f>E91+(E91*F91)</f>
        <v>96</v>
      </c>
      <c r="H91" s="271" t="s">
        <v>228</v>
      </c>
      <c r="I91" s="265">
        <v>2.5</v>
      </c>
      <c r="J91" s="266">
        <f>I91*G91</f>
        <v>240</v>
      </c>
      <c r="K91" s="265">
        <f>$K$4</f>
        <v>83</v>
      </c>
      <c r="L91" s="267">
        <v>0.2</v>
      </c>
      <c r="M91" s="267">
        <f>L91*G91</f>
        <v>19.200000000000003</v>
      </c>
      <c r="N91" s="266">
        <f>M91*K91</f>
        <v>1593.6000000000001</v>
      </c>
      <c r="O91" s="278">
        <f>J91+N91</f>
        <v>1833.6000000000001</v>
      </c>
      <c r="P91" s="2"/>
    </row>
    <row r="92" spans="1:16" ht="15.75" thickBot="1" x14ac:dyDescent="0.3">
      <c r="A92" s="264"/>
      <c r="B92" s="273"/>
      <c r="C92" s="273"/>
      <c r="D92" s="114"/>
      <c r="E92" s="124"/>
      <c r="F92" s="33"/>
      <c r="G92" s="291"/>
      <c r="H92" s="291"/>
      <c r="I92" s="292"/>
      <c r="J92" s="258"/>
      <c r="K92" s="293"/>
      <c r="L92" s="294"/>
      <c r="M92" s="295"/>
      <c r="N92" s="261"/>
      <c r="O92" s="296"/>
      <c r="P92" s="297"/>
    </row>
    <row r="93" spans="1:16" s="3" customFormat="1" ht="16.5" thickBot="1" x14ac:dyDescent="0.3">
      <c r="A93" s="298"/>
      <c r="B93" s="1"/>
      <c r="C93" s="1"/>
      <c r="D93" s="299"/>
      <c r="E93" s="300"/>
      <c r="F93" s="301"/>
      <c r="G93" s="442" t="s">
        <v>12</v>
      </c>
      <c r="H93" s="443"/>
      <c r="I93" s="302">
        <f>SUM(J4:J92)</f>
        <v>75827.020542814993</v>
      </c>
      <c r="J93" s="431" t="s">
        <v>13</v>
      </c>
      <c r="K93" s="432"/>
      <c r="L93" s="303">
        <f>SUM(N4:N92)</f>
        <v>27020.196626443991</v>
      </c>
      <c r="M93" s="431" t="s">
        <v>43</v>
      </c>
      <c r="N93" s="432"/>
      <c r="O93" s="304">
        <f>SUM(M5:M92)</f>
        <v>325.54453766800009</v>
      </c>
      <c r="P93" s="305">
        <f>SUM(O4:O92)</f>
        <v>102847.21716925902</v>
      </c>
    </row>
    <row r="94" spans="1:16" ht="15.75" thickBot="1" x14ac:dyDescent="0.3">
      <c r="A94" s="306"/>
      <c r="B94" s="273"/>
      <c r="C94" s="273"/>
      <c r="D94" s="114"/>
      <c r="E94" s="188"/>
      <c r="F94" s="307"/>
      <c r="G94" s="308"/>
      <c r="H94" s="308"/>
      <c r="I94" s="292"/>
      <c r="J94" s="258"/>
      <c r="K94" s="293"/>
      <c r="L94" s="294"/>
      <c r="M94" s="295"/>
      <c r="N94" s="261"/>
      <c r="O94" s="296"/>
      <c r="P94" s="297"/>
    </row>
    <row r="95" spans="1:16" ht="30" customHeight="1" thickBot="1" x14ac:dyDescent="0.3">
      <c r="A95" s="433" t="s">
        <v>1156</v>
      </c>
      <c r="B95" s="434"/>
      <c r="C95" s="434"/>
      <c r="D95" s="434"/>
      <c r="E95" s="434"/>
      <c r="F95" s="434"/>
      <c r="G95" s="434"/>
      <c r="H95" s="435"/>
      <c r="I95" s="309"/>
      <c r="J95" s="261"/>
      <c r="K95" s="261"/>
      <c r="L95" s="260"/>
      <c r="M95" s="260"/>
      <c r="N95" s="261"/>
      <c r="O95" s="262"/>
      <c r="P95" s="263"/>
    </row>
    <row r="96" spans="1:16" ht="20.100000000000001" customHeight="1" thickBot="1" x14ac:dyDescent="0.3">
      <c r="A96" s="436" t="s">
        <v>1157</v>
      </c>
      <c r="B96" s="437"/>
      <c r="C96" s="437"/>
      <c r="D96" s="438"/>
      <c r="E96" s="254"/>
      <c r="F96" s="255"/>
      <c r="G96" s="256"/>
      <c r="H96" s="256"/>
      <c r="I96" s="257"/>
      <c r="J96" s="258"/>
      <c r="K96" s="261"/>
      <c r="L96" s="260"/>
      <c r="M96" s="260"/>
      <c r="N96" s="261"/>
      <c r="O96" s="262"/>
      <c r="P96" s="263"/>
    </row>
    <row r="97" spans="1:19" s="84" customFormat="1" ht="15" customHeight="1" x14ac:dyDescent="0.25">
      <c r="A97" s="88">
        <v>1</v>
      </c>
      <c r="B97" s="310"/>
      <c r="C97" s="311"/>
      <c r="D97" s="104" t="s">
        <v>1158</v>
      </c>
      <c r="E97" s="124">
        <v>125.05</v>
      </c>
      <c r="F97" s="312">
        <v>0.05</v>
      </c>
      <c r="G97" s="82">
        <f t="shared" ref="G97" si="40">E97+(E97*F97)</f>
        <v>131.30250000000001</v>
      </c>
      <c r="H97" s="82" t="s">
        <v>228</v>
      </c>
      <c r="I97" s="265">
        <v>1.5412500000000002</v>
      </c>
      <c r="J97" s="266">
        <f t="shared" ref="J97" si="41">I97*G97</f>
        <v>202.36997812500005</v>
      </c>
      <c r="K97" s="265">
        <f t="shared" ref="K97" si="42">$K$4</f>
        <v>83</v>
      </c>
      <c r="L97" s="269">
        <v>2.7519999999999999E-2</v>
      </c>
      <c r="M97" s="267">
        <f t="shared" ref="M97" si="43">L97*G97</f>
        <v>3.6134448000000003</v>
      </c>
      <c r="N97" s="266">
        <f t="shared" ref="N97" si="44">M97*K97</f>
        <v>299.91591840000001</v>
      </c>
      <c r="O97" s="313">
        <f>N97+J97</f>
        <v>502.28589652500006</v>
      </c>
      <c r="P97" s="2"/>
      <c r="Q97" s="243"/>
      <c r="S97" s="243"/>
    </row>
    <row r="98" spans="1:19" x14ac:dyDescent="0.25">
      <c r="A98" s="88"/>
      <c r="B98" s="310"/>
      <c r="C98" s="311"/>
      <c r="D98" s="104" t="s">
        <v>1159</v>
      </c>
      <c r="E98" s="124">
        <f>ROUNDUP(E97*8%,0)</f>
        <v>11</v>
      </c>
      <c r="F98" s="33">
        <v>0</v>
      </c>
      <c r="G98" s="82">
        <f>E98+(E98*F98)</f>
        <v>11</v>
      </c>
      <c r="H98" s="82" t="s">
        <v>250</v>
      </c>
      <c r="I98" s="265">
        <v>1.9994624999999999</v>
      </c>
      <c r="J98" s="266">
        <f>I98*G98</f>
        <v>21.994087499999999</v>
      </c>
      <c r="K98" s="265">
        <f>$K$4</f>
        <v>83</v>
      </c>
      <c r="L98" s="269">
        <v>8.6000000000000007E-2</v>
      </c>
      <c r="M98" s="267">
        <f>L98*G98</f>
        <v>0.94600000000000006</v>
      </c>
      <c r="N98" s="266">
        <f>M98*K98</f>
        <v>78.518000000000001</v>
      </c>
      <c r="O98" s="313">
        <f>N98+J98</f>
        <v>100.51208750000001</v>
      </c>
      <c r="P98" s="2"/>
    </row>
    <row r="99" spans="1:19" x14ac:dyDescent="0.25">
      <c r="A99" s="88"/>
      <c r="B99" s="310"/>
      <c r="C99" s="311"/>
      <c r="D99" s="104" t="s">
        <v>1160</v>
      </c>
      <c r="E99" s="124">
        <f>ROUNDUP(E97/10,0)</f>
        <v>13</v>
      </c>
      <c r="F99" s="33">
        <v>0</v>
      </c>
      <c r="G99" s="82">
        <f>E99+(E99*F99)</f>
        <v>13</v>
      </c>
      <c r="H99" s="82" t="s">
        <v>250</v>
      </c>
      <c r="I99" s="265">
        <v>2.349675</v>
      </c>
      <c r="J99" s="266">
        <f>I99*G99</f>
        <v>30.545774999999999</v>
      </c>
      <c r="K99" s="265">
        <f>$K$4</f>
        <v>83</v>
      </c>
      <c r="L99" s="269">
        <v>3.44E-2</v>
      </c>
      <c r="M99" s="267">
        <f>L99*G99</f>
        <v>0.44719999999999999</v>
      </c>
      <c r="N99" s="266">
        <f>M99*K99</f>
        <v>37.117599999999996</v>
      </c>
      <c r="O99" s="313">
        <f>N99+J99</f>
        <v>67.663375000000002</v>
      </c>
      <c r="P99" s="2"/>
    </row>
    <row r="100" spans="1:19" x14ac:dyDescent="0.25">
      <c r="A100" s="88"/>
      <c r="B100" s="310"/>
      <c r="C100" s="311"/>
      <c r="D100" s="104" t="s">
        <v>1161</v>
      </c>
      <c r="E100" s="124">
        <f>ROUNDUP(E97/9.2,0)+ROUNDUP(E97*4%,0)</f>
        <v>20</v>
      </c>
      <c r="F100" s="33">
        <v>0</v>
      </c>
      <c r="G100" s="82">
        <f>E100+(E100*F100)</f>
        <v>20</v>
      </c>
      <c r="H100" s="82" t="s">
        <v>250</v>
      </c>
      <c r="I100" s="265">
        <v>0.43391249999999998</v>
      </c>
      <c r="J100" s="266">
        <f>I100*G100</f>
        <v>8.6782500000000002</v>
      </c>
      <c r="K100" s="265">
        <f>$K$4</f>
        <v>83</v>
      </c>
      <c r="L100" s="269">
        <v>4.6440000000000009E-2</v>
      </c>
      <c r="M100" s="267">
        <f>L100*G100</f>
        <v>0.92880000000000018</v>
      </c>
      <c r="N100" s="266">
        <f>M100*K100</f>
        <v>77.090400000000017</v>
      </c>
      <c r="O100" s="313">
        <f>N100+J100</f>
        <v>85.768650000000022</v>
      </c>
      <c r="P100" s="2"/>
    </row>
    <row r="101" spans="1:19" ht="15.75" thickBot="1" x14ac:dyDescent="0.3">
      <c r="A101" s="314"/>
      <c r="B101" s="315"/>
      <c r="C101" s="315"/>
      <c r="D101" s="316"/>
      <c r="E101" s="317"/>
      <c r="F101" s="255"/>
      <c r="G101" s="256"/>
      <c r="H101" s="256"/>
      <c r="I101" s="257"/>
      <c r="J101" s="258"/>
      <c r="K101" s="261"/>
      <c r="L101" s="260"/>
      <c r="M101" s="260"/>
      <c r="N101" s="261"/>
      <c r="O101" s="262"/>
      <c r="P101" s="263"/>
    </row>
    <row r="102" spans="1:19" ht="20.100000000000001" customHeight="1" thickBot="1" x14ac:dyDescent="0.3">
      <c r="A102" s="439" t="s">
        <v>1162</v>
      </c>
      <c r="B102" s="440"/>
      <c r="C102" s="440"/>
      <c r="D102" s="441"/>
      <c r="E102" s="286"/>
      <c r="F102" s="33"/>
      <c r="G102" s="82"/>
      <c r="H102" s="82"/>
      <c r="I102" s="257"/>
      <c r="J102" s="258"/>
      <c r="K102" s="261"/>
      <c r="L102" s="260"/>
      <c r="M102" s="260"/>
      <c r="N102" s="261"/>
      <c r="O102" s="262"/>
      <c r="P102" s="263"/>
    </row>
    <row r="103" spans="1:19" ht="15" customHeight="1" x14ac:dyDescent="0.25">
      <c r="A103" s="264">
        <v>1</v>
      </c>
      <c r="B103" s="318"/>
      <c r="C103" s="111"/>
      <c r="D103" s="104" t="s">
        <v>1163</v>
      </c>
      <c r="E103" s="319">
        <v>375.15</v>
      </c>
      <c r="F103" s="33">
        <v>0.1</v>
      </c>
      <c r="G103" s="82">
        <f t="shared" ref="G103:G104" si="45">E103+(E103*F103)</f>
        <v>412.66499999999996</v>
      </c>
      <c r="H103" s="82" t="s">
        <v>1082</v>
      </c>
      <c r="I103" s="265">
        <v>0.21663000000000002</v>
      </c>
      <c r="J103" s="266">
        <f t="shared" ref="J103:J104" si="46">I103*G103</f>
        <v>89.395618949999999</v>
      </c>
      <c r="K103" s="265">
        <f>$K$4</f>
        <v>83</v>
      </c>
      <c r="L103" s="267">
        <v>4.6439999999999997E-3</v>
      </c>
      <c r="M103" s="267">
        <f t="shared" ref="M103:M104" si="47">L103*G103</f>
        <v>1.9164162599999996</v>
      </c>
      <c r="N103" s="266">
        <f t="shared" ref="N103:N104" si="48">M103*K103</f>
        <v>159.06254957999997</v>
      </c>
      <c r="O103" s="313">
        <f t="shared" ref="O103:O104" si="49">J103+N103</f>
        <v>248.45816852999997</v>
      </c>
      <c r="P103" s="320"/>
    </row>
    <row r="104" spans="1:19" ht="15" customHeight="1" x14ac:dyDescent="0.25">
      <c r="A104" s="264">
        <v>2</v>
      </c>
      <c r="B104" s="310"/>
      <c r="C104" s="111"/>
      <c r="D104" s="104" t="s">
        <v>1164</v>
      </c>
      <c r="E104" s="319">
        <v>1195.78</v>
      </c>
      <c r="F104" s="33">
        <v>0.1</v>
      </c>
      <c r="G104" s="82">
        <f t="shared" si="45"/>
        <v>1315.3579999999999</v>
      </c>
      <c r="H104" s="82" t="s">
        <v>1082</v>
      </c>
      <c r="I104" s="265">
        <v>1.3725000000000001</v>
      </c>
      <c r="J104" s="266">
        <f t="shared" si="46"/>
        <v>1805.328855</v>
      </c>
      <c r="K104" s="265">
        <f t="shared" ref="K104" si="50">$K$4</f>
        <v>83</v>
      </c>
      <c r="L104" s="267">
        <v>2.0424999999999999E-2</v>
      </c>
      <c r="M104" s="267">
        <f t="shared" si="47"/>
        <v>26.866187149999998</v>
      </c>
      <c r="N104" s="266">
        <f t="shared" si="48"/>
        <v>2229.8935334499997</v>
      </c>
      <c r="O104" s="313">
        <f t="shared" si="49"/>
        <v>4035.2223884499999</v>
      </c>
      <c r="P104" s="320"/>
    </row>
    <row r="105" spans="1:19" ht="15.75" thickBot="1" x14ac:dyDescent="0.3">
      <c r="A105" s="314"/>
      <c r="B105" s="315"/>
      <c r="C105" s="315"/>
      <c r="D105" s="316"/>
      <c r="E105" s="317"/>
      <c r="F105" s="255"/>
      <c r="G105" s="256"/>
      <c r="H105" s="256"/>
      <c r="I105" s="257"/>
      <c r="J105" s="258"/>
      <c r="K105" s="261"/>
      <c r="L105" s="260"/>
      <c r="M105" s="260"/>
      <c r="N105" s="261"/>
      <c r="O105" s="262"/>
      <c r="P105" s="263"/>
    </row>
    <row r="106" spans="1:19" ht="20.100000000000001" customHeight="1" thickBot="1" x14ac:dyDescent="0.3">
      <c r="A106" s="439" t="s">
        <v>1165</v>
      </c>
      <c r="B106" s="440"/>
      <c r="C106" s="440"/>
      <c r="D106" s="441"/>
      <c r="E106" s="286"/>
      <c r="F106" s="33"/>
      <c r="G106" s="82"/>
      <c r="H106" s="82"/>
      <c r="I106" s="257"/>
      <c r="J106" s="258"/>
      <c r="K106" s="261"/>
      <c r="L106" s="260"/>
      <c r="M106" s="260"/>
      <c r="N106" s="261"/>
      <c r="O106" s="262"/>
      <c r="P106" s="263"/>
    </row>
    <row r="107" spans="1:19" s="84" customFormat="1" ht="15" customHeight="1" x14ac:dyDescent="0.25">
      <c r="A107" s="88">
        <v>1</v>
      </c>
      <c r="B107" s="310"/>
      <c r="C107" s="311"/>
      <c r="D107" s="104" t="s">
        <v>1166</v>
      </c>
      <c r="E107" s="124">
        <v>71.83</v>
      </c>
      <c r="F107" s="312">
        <v>0.05</v>
      </c>
      <c r="G107" s="82">
        <f t="shared" ref="G107:G125" si="51">E107+(E107*F107)</f>
        <v>75.421499999999995</v>
      </c>
      <c r="H107" s="82" t="s">
        <v>228</v>
      </c>
      <c r="I107" s="265">
        <v>4.3087499999999999</v>
      </c>
      <c r="J107" s="266">
        <f t="shared" ref="J107:J125" si="52">I107*G107</f>
        <v>324.97238812499995</v>
      </c>
      <c r="K107" s="265">
        <f t="shared" ref="K107:K125" si="53">$K$4</f>
        <v>83</v>
      </c>
      <c r="L107" s="269">
        <v>4.0419999999999998E-2</v>
      </c>
      <c r="M107" s="267">
        <f t="shared" ref="M107:M125" si="54">L107*G107</f>
        <v>3.0485370299999994</v>
      </c>
      <c r="N107" s="266">
        <f t="shared" ref="N107:N125" si="55">M107*K107</f>
        <v>253.02857348999996</v>
      </c>
      <c r="O107" s="313">
        <f t="shared" ref="O107:O125" si="56">N107+J107</f>
        <v>578.00096161499994</v>
      </c>
      <c r="P107" s="2"/>
      <c r="Q107" s="243"/>
      <c r="S107" s="243"/>
    </row>
    <row r="108" spans="1:19" x14ac:dyDescent="0.25">
      <c r="A108" s="88"/>
      <c r="B108" s="310"/>
      <c r="C108" s="311"/>
      <c r="D108" s="104" t="s">
        <v>1167</v>
      </c>
      <c r="E108" s="124">
        <f>ROUNDUP(E107*8%,0)</f>
        <v>6</v>
      </c>
      <c r="F108" s="33">
        <v>0</v>
      </c>
      <c r="G108" s="82">
        <f>E108+(E108*F108)</f>
        <v>6</v>
      </c>
      <c r="H108" s="82" t="s">
        <v>250</v>
      </c>
      <c r="I108" s="265">
        <v>6.1785000000000014</v>
      </c>
      <c r="J108" s="266">
        <f>I108*G108</f>
        <v>37.071000000000012</v>
      </c>
      <c r="K108" s="265">
        <f>$K$4</f>
        <v>83</v>
      </c>
      <c r="L108" s="269">
        <v>0.12040000000000001</v>
      </c>
      <c r="M108" s="267">
        <f>L108*G108</f>
        <v>0.72240000000000004</v>
      </c>
      <c r="N108" s="266">
        <f>M108*K108</f>
        <v>59.959200000000003</v>
      </c>
      <c r="O108" s="313">
        <f t="shared" si="56"/>
        <v>97.030200000000008</v>
      </c>
      <c r="P108" s="2"/>
    </row>
    <row r="109" spans="1:19" x14ac:dyDescent="0.25">
      <c r="A109" s="88"/>
      <c r="B109" s="310"/>
      <c r="C109" s="311"/>
      <c r="D109" s="104" t="s">
        <v>1168</v>
      </c>
      <c r="E109" s="124">
        <f>ROUNDUP(E107/10,0)</f>
        <v>8</v>
      </c>
      <c r="F109" s="33">
        <v>0</v>
      </c>
      <c r="G109" s="82">
        <f>E109+(E109*F109)</f>
        <v>8</v>
      </c>
      <c r="H109" s="82" t="s">
        <v>250</v>
      </c>
      <c r="I109" s="265">
        <v>6.9233624999999996</v>
      </c>
      <c r="J109" s="266">
        <f>I109*G109</f>
        <v>55.386899999999997</v>
      </c>
      <c r="K109" s="265">
        <f>$K$4</f>
        <v>83</v>
      </c>
      <c r="L109" s="269">
        <v>5.5900000000000005E-2</v>
      </c>
      <c r="M109" s="267">
        <f>L109*G109</f>
        <v>0.44720000000000004</v>
      </c>
      <c r="N109" s="266">
        <f>M109*K109</f>
        <v>37.117600000000003</v>
      </c>
      <c r="O109" s="313">
        <f t="shared" si="56"/>
        <v>92.504500000000007</v>
      </c>
      <c r="P109" s="2"/>
    </row>
    <row r="110" spans="1:19" x14ac:dyDescent="0.25">
      <c r="A110" s="88"/>
      <c r="B110" s="310"/>
      <c r="C110" s="311"/>
      <c r="D110" s="104" t="s">
        <v>1169</v>
      </c>
      <c r="E110" s="124">
        <f>ROUNDUP(E107*8%,0)</f>
        <v>6</v>
      </c>
      <c r="F110" s="33">
        <v>0</v>
      </c>
      <c r="G110" s="82">
        <f>E110+(E110*F110)</f>
        <v>6</v>
      </c>
      <c r="H110" s="82" t="s">
        <v>250</v>
      </c>
      <c r="I110" s="265">
        <v>0.5929875</v>
      </c>
      <c r="J110" s="266">
        <f>I110*G110</f>
        <v>3.557925</v>
      </c>
      <c r="K110" s="265">
        <f>$K$4</f>
        <v>83</v>
      </c>
      <c r="L110" s="269">
        <v>3.354E-2</v>
      </c>
      <c r="M110" s="267">
        <f>L110*G110</f>
        <v>0.20124</v>
      </c>
      <c r="N110" s="266">
        <f>M110*K110</f>
        <v>16.702919999999999</v>
      </c>
      <c r="O110" s="313">
        <f t="shared" si="56"/>
        <v>20.260845</v>
      </c>
      <c r="P110" s="2"/>
    </row>
    <row r="111" spans="1:19" x14ac:dyDescent="0.25">
      <c r="A111" s="88"/>
      <c r="B111" s="310"/>
      <c r="C111" s="311"/>
      <c r="D111" s="104" t="s">
        <v>1170</v>
      </c>
      <c r="E111" s="124">
        <f>ROUNDUP(E107/10,0)</f>
        <v>8</v>
      </c>
      <c r="F111" s="33">
        <v>0</v>
      </c>
      <c r="G111" s="82">
        <f>E111+(E111*F111)</f>
        <v>8</v>
      </c>
      <c r="H111" s="82" t="s">
        <v>250</v>
      </c>
      <c r="I111" s="265">
        <v>1.0753875000000002</v>
      </c>
      <c r="J111" s="266">
        <f>I111*G111</f>
        <v>8.6031000000000013</v>
      </c>
      <c r="K111" s="265">
        <f>$K$4</f>
        <v>83</v>
      </c>
      <c r="L111" s="269">
        <v>6.0200000000000004E-2</v>
      </c>
      <c r="M111" s="267">
        <f>L111*G111</f>
        <v>0.48160000000000003</v>
      </c>
      <c r="N111" s="266">
        <f>M111*K111</f>
        <v>39.972799999999999</v>
      </c>
      <c r="O111" s="313">
        <f t="shared" si="56"/>
        <v>48.575900000000004</v>
      </c>
      <c r="P111" s="2"/>
    </row>
    <row r="112" spans="1:19" x14ac:dyDescent="0.25">
      <c r="A112" s="88"/>
      <c r="B112" s="310"/>
      <c r="C112" s="311"/>
      <c r="D112" s="104" t="s">
        <v>1100</v>
      </c>
      <c r="E112" s="124">
        <f>ROUNDUP(E107/10,0)</f>
        <v>8</v>
      </c>
      <c r="F112" s="33">
        <v>0</v>
      </c>
      <c r="G112" s="82">
        <f>E112+(E112*F112)</f>
        <v>8</v>
      </c>
      <c r="H112" s="82" t="s">
        <v>250</v>
      </c>
      <c r="I112" s="265">
        <v>0</v>
      </c>
      <c r="J112" s="266">
        <f>I112*G112</f>
        <v>0</v>
      </c>
      <c r="K112" s="265">
        <f>$K$4</f>
        <v>83</v>
      </c>
      <c r="L112" s="269">
        <v>6.88E-2</v>
      </c>
      <c r="M112" s="267">
        <f>L112*G112</f>
        <v>0.5504</v>
      </c>
      <c r="N112" s="266">
        <f>M112*K112</f>
        <v>45.683199999999999</v>
      </c>
      <c r="O112" s="313">
        <f t="shared" si="56"/>
        <v>45.683199999999999</v>
      </c>
      <c r="P112" s="2"/>
    </row>
    <row r="113" spans="1:16" s="84" customFormat="1" x14ac:dyDescent="0.25">
      <c r="A113" s="88">
        <v>2</v>
      </c>
      <c r="B113" s="310"/>
      <c r="C113" s="123"/>
      <c r="D113" s="104" t="s">
        <v>1158</v>
      </c>
      <c r="E113" s="124">
        <v>5239.6400000000003</v>
      </c>
      <c r="F113" s="312">
        <v>0.05</v>
      </c>
      <c r="G113" s="82">
        <f t="shared" si="51"/>
        <v>5501.6220000000003</v>
      </c>
      <c r="H113" s="82" t="s">
        <v>228</v>
      </c>
      <c r="I113" s="265">
        <v>1.5412500000000002</v>
      </c>
      <c r="J113" s="266">
        <f t="shared" si="52"/>
        <v>8479.3749075000014</v>
      </c>
      <c r="K113" s="265">
        <f t="shared" si="53"/>
        <v>83</v>
      </c>
      <c r="L113" s="269">
        <v>2.7519999999999999E-2</v>
      </c>
      <c r="M113" s="267">
        <f t="shared" si="54"/>
        <v>151.40463744000002</v>
      </c>
      <c r="N113" s="266">
        <f t="shared" si="55"/>
        <v>12566.584907520002</v>
      </c>
      <c r="O113" s="313">
        <f t="shared" si="56"/>
        <v>21045.959815020004</v>
      </c>
      <c r="P113" s="2"/>
    </row>
    <row r="114" spans="1:16" x14ac:dyDescent="0.25">
      <c r="A114" s="88"/>
      <c r="B114" s="310"/>
      <c r="C114" s="123"/>
      <c r="D114" s="104" t="s">
        <v>1159</v>
      </c>
      <c r="E114" s="124">
        <f>ROUNDUP(E113*8%,0)</f>
        <v>420</v>
      </c>
      <c r="F114" s="33">
        <v>0</v>
      </c>
      <c r="G114" s="82">
        <f>E114+(E114*F114)</f>
        <v>420</v>
      </c>
      <c r="H114" s="82" t="s">
        <v>250</v>
      </c>
      <c r="I114" s="265">
        <v>1.9994624999999999</v>
      </c>
      <c r="J114" s="266">
        <f>I114*G114</f>
        <v>839.77424999999994</v>
      </c>
      <c r="K114" s="265">
        <f>$K$4</f>
        <v>83</v>
      </c>
      <c r="L114" s="269">
        <v>8.6000000000000007E-2</v>
      </c>
      <c r="M114" s="267">
        <f>L114*G114</f>
        <v>36.120000000000005</v>
      </c>
      <c r="N114" s="266">
        <f>M114*K114</f>
        <v>2997.9600000000005</v>
      </c>
      <c r="O114" s="313">
        <f>N114+J114</f>
        <v>3837.7342500000004</v>
      </c>
      <c r="P114" s="2"/>
    </row>
    <row r="115" spans="1:16" x14ac:dyDescent="0.25">
      <c r="A115" s="88"/>
      <c r="B115" s="310"/>
      <c r="C115" s="123"/>
      <c r="D115" s="104" t="s">
        <v>1160</v>
      </c>
      <c r="E115" s="124">
        <f>ROUNDUP(E113/10,0)</f>
        <v>524</v>
      </c>
      <c r="F115" s="33">
        <v>0</v>
      </c>
      <c r="G115" s="82">
        <f>E115+(E115*F115)</f>
        <v>524</v>
      </c>
      <c r="H115" s="82" t="s">
        <v>250</v>
      </c>
      <c r="I115" s="265">
        <v>2.349675</v>
      </c>
      <c r="J115" s="266">
        <f>I115*G115</f>
        <v>1231.2296999999999</v>
      </c>
      <c r="K115" s="265">
        <f>$K$4</f>
        <v>83</v>
      </c>
      <c r="L115" s="269">
        <v>3.44E-2</v>
      </c>
      <c r="M115" s="267">
        <f>L115*G115</f>
        <v>18.025600000000001</v>
      </c>
      <c r="N115" s="266">
        <f>M115*K115</f>
        <v>1496.1248000000001</v>
      </c>
      <c r="O115" s="313">
        <f>N115+J115</f>
        <v>2727.3544999999999</v>
      </c>
      <c r="P115" s="2"/>
    </row>
    <row r="116" spans="1:16" x14ac:dyDescent="0.25">
      <c r="A116" s="88"/>
      <c r="B116" s="310"/>
      <c r="C116" s="123"/>
      <c r="D116" s="104" t="s">
        <v>1161</v>
      </c>
      <c r="E116" s="124">
        <f>ROUNDUP(E113/9.2,0)+ROUNDUP(E113*4%,0)</f>
        <v>780</v>
      </c>
      <c r="F116" s="33">
        <v>0</v>
      </c>
      <c r="G116" s="82">
        <f>E116+(E116*F116)</f>
        <v>780</v>
      </c>
      <c r="H116" s="82" t="s">
        <v>250</v>
      </c>
      <c r="I116" s="265">
        <v>0.43391249999999998</v>
      </c>
      <c r="J116" s="266">
        <f>I116*G116</f>
        <v>338.45175</v>
      </c>
      <c r="K116" s="265">
        <f>$K$4</f>
        <v>83</v>
      </c>
      <c r="L116" s="269">
        <v>4.6440000000000009E-2</v>
      </c>
      <c r="M116" s="267">
        <f>L116*G116</f>
        <v>36.223200000000006</v>
      </c>
      <c r="N116" s="266">
        <f>M116*K116</f>
        <v>3006.5256000000004</v>
      </c>
      <c r="O116" s="313">
        <f>N116+J116</f>
        <v>3344.9773500000006</v>
      </c>
      <c r="P116" s="2"/>
    </row>
    <row r="117" spans="1:16" s="84" customFormat="1" x14ac:dyDescent="0.25">
      <c r="A117" s="88">
        <v>3</v>
      </c>
      <c r="B117" s="310"/>
      <c r="C117" s="123"/>
      <c r="D117" s="104" t="s">
        <v>1171</v>
      </c>
      <c r="E117" s="124">
        <v>48</v>
      </c>
      <c r="F117" s="312">
        <v>0.05</v>
      </c>
      <c r="G117" s="82">
        <f t="shared" si="51"/>
        <v>50.4</v>
      </c>
      <c r="H117" s="82" t="s">
        <v>1082</v>
      </c>
      <c r="I117" s="265">
        <v>1.532025</v>
      </c>
      <c r="J117" s="266">
        <f t="shared" si="52"/>
        <v>77.214059999999989</v>
      </c>
      <c r="K117" s="265">
        <f t="shared" si="53"/>
        <v>83</v>
      </c>
      <c r="L117" s="269">
        <v>3.354E-2</v>
      </c>
      <c r="M117" s="267">
        <f t="shared" si="54"/>
        <v>1.6904159999999999</v>
      </c>
      <c r="N117" s="266">
        <f t="shared" si="55"/>
        <v>140.304528</v>
      </c>
      <c r="O117" s="313">
        <f t="shared" si="56"/>
        <v>217.51858799999999</v>
      </c>
      <c r="P117" s="2"/>
    </row>
    <row r="118" spans="1:16" s="84" customFormat="1" x14ac:dyDescent="0.25">
      <c r="A118" s="88">
        <v>4</v>
      </c>
      <c r="B118" s="310"/>
      <c r="C118" s="123"/>
      <c r="D118" s="104" t="s">
        <v>1172</v>
      </c>
      <c r="E118" s="124">
        <v>10</v>
      </c>
      <c r="F118" s="312">
        <v>0.05</v>
      </c>
      <c r="G118" s="82">
        <f t="shared" si="51"/>
        <v>10.5</v>
      </c>
      <c r="H118" s="82" t="s">
        <v>228</v>
      </c>
      <c r="I118" s="265">
        <v>4.1062500000000002</v>
      </c>
      <c r="J118" s="266">
        <f t="shared" si="52"/>
        <v>43.115625000000001</v>
      </c>
      <c r="K118" s="265">
        <f t="shared" si="53"/>
        <v>83</v>
      </c>
      <c r="L118" s="269">
        <v>4.3000000000000003E-2</v>
      </c>
      <c r="M118" s="267">
        <f t="shared" si="54"/>
        <v>0.45150000000000001</v>
      </c>
      <c r="N118" s="266">
        <f t="shared" si="55"/>
        <v>37.474499999999999</v>
      </c>
      <c r="O118" s="313">
        <f t="shared" si="56"/>
        <v>80.590125</v>
      </c>
      <c r="P118" s="2"/>
    </row>
    <row r="119" spans="1:16" x14ac:dyDescent="0.25">
      <c r="A119" s="88"/>
      <c r="B119" s="310"/>
      <c r="C119" s="123"/>
      <c r="D119" s="104" t="s">
        <v>1173</v>
      </c>
      <c r="E119" s="124">
        <f>ROUNDUP(E118*4%,0)</f>
        <v>1</v>
      </c>
      <c r="F119" s="33">
        <v>0</v>
      </c>
      <c r="G119" s="82">
        <f t="shared" si="51"/>
        <v>1</v>
      </c>
      <c r="H119" s="82" t="s">
        <v>250</v>
      </c>
      <c r="I119" s="265">
        <v>0</v>
      </c>
      <c r="J119" s="266">
        <f t="shared" si="52"/>
        <v>0</v>
      </c>
      <c r="K119" s="265">
        <f t="shared" si="53"/>
        <v>83</v>
      </c>
      <c r="L119" s="269">
        <v>0.17200000000000001</v>
      </c>
      <c r="M119" s="267">
        <f t="shared" si="54"/>
        <v>0.17200000000000001</v>
      </c>
      <c r="N119" s="266">
        <f t="shared" si="55"/>
        <v>14.276000000000002</v>
      </c>
      <c r="O119" s="313">
        <f t="shared" si="56"/>
        <v>14.276000000000002</v>
      </c>
      <c r="P119" s="2"/>
    </row>
    <row r="120" spans="1:16" x14ac:dyDescent="0.25">
      <c r="A120" s="88"/>
      <c r="B120" s="310"/>
      <c r="C120" s="123"/>
      <c r="D120" s="104" t="s">
        <v>1174</v>
      </c>
      <c r="E120" s="124">
        <f>ROUNDUP(E118/9.2,0)+ROUNDUP(E118*4%,0)</f>
        <v>3</v>
      </c>
      <c r="F120" s="33">
        <v>0</v>
      </c>
      <c r="G120" s="82">
        <f t="shared" si="51"/>
        <v>3</v>
      </c>
      <c r="H120" s="82" t="s">
        <v>250</v>
      </c>
      <c r="I120" s="265">
        <v>1.9919249999999999</v>
      </c>
      <c r="J120" s="266">
        <f t="shared" si="52"/>
        <v>5.9757749999999996</v>
      </c>
      <c r="K120" s="265">
        <f t="shared" si="53"/>
        <v>83</v>
      </c>
      <c r="L120" s="269">
        <v>4.6440000000000009E-2</v>
      </c>
      <c r="M120" s="267">
        <f t="shared" si="54"/>
        <v>0.13932000000000003</v>
      </c>
      <c r="N120" s="266">
        <f t="shared" si="55"/>
        <v>11.563560000000003</v>
      </c>
      <c r="O120" s="313">
        <f t="shared" si="56"/>
        <v>17.539335000000001</v>
      </c>
      <c r="P120" s="2"/>
    </row>
    <row r="121" spans="1:16" x14ac:dyDescent="0.25">
      <c r="A121" s="88"/>
      <c r="B121" s="310"/>
      <c r="C121" s="123"/>
      <c r="D121" s="104" t="s">
        <v>1175</v>
      </c>
      <c r="E121" s="124">
        <f>ROUNDUP(E118*4%,0)</f>
        <v>1</v>
      </c>
      <c r="F121" s="33">
        <v>0</v>
      </c>
      <c r="G121" s="82">
        <f t="shared" si="51"/>
        <v>1</v>
      </c>
      <c r="H121" s="82" t="s">
        <v>250</v>
      </c>
      <c r="I121" s="265">
        <v>58.927500000000002</v>
      </c>
      <c r="J121" s="266">
        <f t="shared" si="52"/>
        <v>58.927500000000002</v>
      </c>
      <c r="K121" s="265">
        <f t="shared" si="53"/>
        <v>83</v>
      </c>
      <c r="L121" s="269">
        <v>0.38700000000000001</v>
      </c>
      <c r="M121" s="267">
        <f t="shared" si="54"/>
        <v>0.38700000000000001</v>
      </c>
      <c r="N121" s="266">
        <f t="shared" si="55"/>
        <v>32.121000000000002</v>
      </c>
      <c r="O121" s="313">
        <f t="shared" si="56"/>
        <v>91.048500000000004</v>
      </c>
      <c r="P121" s="2"/>
    </row>
    <row r="122" spans="1:16" x14ac:dyDescent="0.25">
      <c r="A122" s="88"/>
      <c r="B122" s="310"/>
      <c r="C122" s="123"/>
      <c r="D122" s="104" t="s">
        <v>1176</v>
      </c>
      <c r="E122" s="124">
        <f>ROUNDUP(E118*4%,0)</f>
        <v>1</v>
      </c>
      <c r="F122" s="33">
        <v>0</v>
      </c>
      <c r="G122" s="82">
        <f t="shared" si="51"/>
        <v>1</v>
      </c>
      <c r="H122" s="82" t="s">
        <v>250</v>
      </c>
      <c r="I122" s="265">
        <v>15.547499999999999</v>
      </c>
      <c r="J122" s="266">
        <f t="shared" si="52"/>
        <v>15.547499999999999</v>
      </c>
      <c r="K122" s="265">
        <f t="shared" si="53"/>
        <v>83</v>
      </c>
      <c r="L122" s="269">
        <v>5.16E-2</v>
      </c>
      <c r="M122" s="267">
        <f t="shared" si="54"/>
        <v>5.16E-2</v>
      </c>
      <c r="N122" s="266">
        <f t="shared" si="55"/>
        <v>4.2827999999999999</v>
      </c>
      <c r="O122" s="313">
        <f t="shared" si="56"/>
        <v>19.830300000000001</v>
      </c>
      <c r="P122" s="2"/>
    </row>
    <row r="123" spans="1:16" x14ac:dyDescent="0.25">
      <c r="A123" s="88"/>
      <c r="B123" s="310"/>
      <c r="C123" s="123"/>
      <c r="D123" s="104" t="s">
        <v>1177</v>
      </c>
      <c r="E123" s="124">
        <f>ROUNDUP(E118/9.2,0)+ROUNDUP(E118*12%,0)</f>
        <v>4</v>
      </c>
      <c r="F123" s="33">
        <v>0</v>
      </c>
      <c r="G123" s="82">
        <f t="shared" si="51"/>
        <v>4</v>
      </c>
      <c r="H123" s="82" t="s">
        <v>250</v>
      </c>
      <c r="I123" s="265">
        <v>2.8687499999999998E-2</v>
      </c>
      <c r="J123" s="266">
        <f t="shared" si="52"/>
        <v>0.11474999999999999</v>
      </c>
      <c r="K123" s="265">
        <f t="shared" si="53"/>
        <v>83</v>
      </c>
      <c r="L123" s="269">
        <v>5.16E-2</v>
      </c>
      <c r="M123" s="267">
        <f t="shared" si="54"/>
        <v>0.2064</v>
      </c>
      <c r="N123" s="266">
        <f t="shared" si="55"/>
        <v>17.1312</v>
      </c>
      <c r="O123" s="313">
        <f t="shared" si="56"/>
        <v>17.245950000000001</v>
      </c>
      <c r="P123" s="2"/>
    </row>
    <row r="124" spans="1:16" x14ac:dyDescent="0.25">
      <c r="A124" s="88"/>
      <c r="B124" s="310"/>
      <c r="C124" s="123"/>
      <c r="D124" s="104" t="s">
        <v>1178</v>
      </c>
      <c r="E124" s="124">
        <f>ROUNDUP(E118/9.2,0)+ROUNDUP(E118*12%,0)</f>
        <v>4</v>
      </c>
      <c r="F124" s="33">
        <v>0</v>
      </c>
      <c r="G124" s="82">
        <f t="shared" si="51"/>
        <v>4</v>
      </c>
      <c r="H124" s="82" t="s">
        <v>250</v>
      </c>
      <c r="I124" s="265">
        <v>0.108</v>
      </c>
      <c r="J124" s="266">
        <f t="shared" si="52"/>
        <v>0.432</v>
      </c>
      <c r="K124" s="265">
        <f t="shared" si="53"/>
        <v>83</v>
      </c>
      <c r="L124" s="269">
        <v>2.58E-2</v>
      </c>
      <c r="M124" s="267">
        <f t="shared" si="54"/>
        <v>0.1032</v>
      </c>
      <c r="N124" s="266">
        <f t="shared" si="55"/>
        <v>8.5655999999999999</v>
      </c>
      <c r="O124" s="313">
        <f t="shared" si="56"/>
        <v>8.9976000000000003</v>
      </c>
      <c r="P124" s="2"/>
    </row>
    <row r="125" spans="1:16" s="84" customFormat="1" x14ac:dyDescent="0.25">
      <c r="A125" s="88">
        <v>5</v>
      </c>
      <c r="B125" s="310"/>
      <c r="C125" s="123"/>
      <c r="D125" s="104" t="s">
        <v>1107</v>
      </c>
      <c r="E125" s="124">
        <v>21</v>
      </c>
      <c r="F125" s="312">
        <v>0.05</v>
      </c>
      <c r="G125" s="82">
        <f t="shared" si="51"/>
        <v>22.05</v>
      </c>
      <c r="H125" s="82" t="s">
        <v>228</v>
      </c>
      <c r="I125" s="265">
        <v>1.89</v>
      </c>
      <c r="J125" s="266">
        <f t="shared" si="52"/>
        <v>41.674500000000002</v>
      </c>
      <c r="K125" s="265">
        <f t="shared" si="53"/>
        <v>83</v>
      </c>
      <c r="L125" s="269">
        <v>3.6120000000000006E-2</v>
      </c>
      <c r="M125" s="267">
        <f t="shared" si="54"/>
        <v>0.79644600000000021</v>
      </c>
      <c r="N125" s="266">
        <f t="shared" si="55"/>
        <v>66.105018000000015</v>
      </c>
      <c r="O125" s="313">
        <f t="shared" si="56"/>
        <v>107.77951800000002</v>
      </c>
      <c r="P125" s="2"/>
    </row>
    <row r="126" spans="1:16" x14ac:dyDescent="0.25">
      <c r="A126" s="88"/>
      <c r="B126" s="310"/>
      <c r="C126" s="123"/>
      <c r="D126" s="104" t="s">
        <v>1108</v>
      </c>
      <c r="E126" s="124">
        <f>ROUNDUP(E125*3%*2,0)</f>
        <v>2</v>
      </c>
      <c r="F126" s="33">
        <v>0</v>
      </c>
      <c r="G126" s="82">
        <f>E126+(E126*F126)</f>
        <v>2</v>
      </c>
      <c r="H126" s="82" t="s">
        <v>250</v>
      </c>
      <c r="I126" s="265">
        <v>14.820750000000002</v>
      </c>
      <c r="J126" s="266">
        <f>I126*G126</f>
        <v>29.641500000000004</v>
      </c>
      <c r="K126" s="265">
        <f>$K$4</f>
        <v>83</v>
      </c>
      <c r="L126" s="269">
        <v>0.2752</v>
      </c>
      <c r="M126" s="267">
        <f>L126*G126</f>
        <v>0.5504</v>
      </c>
      <c r="N126" s="266">
        <f>M126*K126</f>
        <v>45.683199999999999</v>
      </c>
      <c r="O126" s="313">
        <f>N126+J126</f>
        <v>75.324700000000007</v>
      </c>
      <c r="P126" s="2"/>
    </row>
    <row r="127" spans="1:16" x14ac:dyDescent="0.25">
      <c r="A127" s="88"/>
      <c r="B127" s="310"/>
      <c r="C127" s="123"/>
      <c r="D127" s="104" t="s">
        <v>1109</v>
      </c>
      <c r="E127" s="124">
        <f>ROUNDUP(E125*4%*2,0)</f>
        <v>2</v>
      </c>
      <c r="F127" s="33">
        <v>0</v>
      </c>
      <c r="G127" s="82">
        <f>E127+(E127*F127)</f>
        <v>2</v>
      </c>
      <c r="H127" s="82" t="s">
        <v>250</v>
      </c>
      <c r="I127" s="265">
        <v>0.84543750000000006</v>
      </c>
      <c r="J127" s="266">
        <f>I127*G127</f>
        <v>1.6908750000000001</v>
      </c>
      <c r="K127" s="265">
        <f>$K$4</f>
        <v>83</v>
      </c>
      <c r="L127" s="269">
        <v>2.6660000000000003E-2</v>
      </c>
      <c r="M127" s="267">
        <f>L127*G127</f>
        <v>5.3320000000000006E-2</v>
      </c>
      <c r="N127" s="266">
        <f>M127*K127</f>
        <v>4.4255600000000008</v>
      </c>
      <c r="O127" s="313">
        <f>N127+J127</f>
        <v>6.116435000000001</v>
      </c>
      <c r="P127" s="2"/>
    </row>
    <row r="128" spans="1:16" x14ac:dyDescent="0.25">
      <c r="A128" s="88"/>
      <c r="B128" s="310"/>
      <c r="C128" s="123"/>
      <c r="D128" s="104" t="s">
        <v>1110</v>
      </c>
      <c r="E128" s="124">
        <f>ROUNDUP(E125*3%*4,0)</f>
        <v>3</v>
      </c>
      <c r="F128" s="33">
        <v>0</v>
      </c>
      <c r="G128" s="82">
        <f>E128+(E128*F128)</f>
        <v>3</v>
      </c>
      <c r="H128" s="82" t="s">
        <v>250</v>
      </c>
      <c r="I128" s="265">
        <v>0.56441249999999998</v>
      </c>
      <c r="J128" s="266">
        <f>I128*G128</f>
        <v>1.6932375</v>
      </c>
      <c r="K128" s="265">
        <f>$K$4</f>
        <v>83</v>
      </c>
      <c r="L128" s="269">
        <v>2.1499999999999998E-2</v>
      </c>
      <c r="M128" s="267">
        <f>L128*G128</f>
        <v>6.4500000000000002E-2</v>
      </c>
      <c r="N128" s="266">
        <f>M128*K128</f>
        <v>5.3535000000000004</v>
      </c>
      <c r="O128" s="313">
        <f>N128+J128</f>
        <v>7.0467375000000008</v>
      </c>
      <c r="P128" s="2"/>
    </row>
    <row r="129" spans="1:16" x14ac:dyDescent="0.25">
      <c r="A129" s="88"/>
      <c r="B129" s="310"/>
      <c r="C129" s="123"/>
      <c r="D129" s="104" t="s">
        <v>1111</v>
      </c>
      <c r="E129" s="124">
        <f>ROUNDUP(E125*4%*2,0)</f>
        <v>2</v>
      </c>
      <c r="F129" s="33">
        <v>0</v>
      </c>
      <c r="G129" s="82">
        <f>E129+(E129*F129)</f>
        <v>2</v>
      </c>
      <c r="H129" s="82" t="s">
        <v>250</v>
      </c>
      <c r="I129" s="265">
        <v>0.97560000000000002</v>
      </c>
      <c r="J129" s="266">
        <f>I129*G129</f>
        <v>1.9512</v>
      </c>
      <c r="K129" s="265">
        <f>$K$4</f>
        <v>83</v>
      </c>
      <c r="L129" s="269">
        <v>0.1032</v>
      </c>
      <c r="M129" s="267">
        <f>L129*G129</f>
        <v>0.2064</v>
      </c>
      <c r="N129" s="266">
        <f>M129*K129</f>
        <v>17.1312</v>
      </c>
      <c r="O129" s="313">
        <f>N129+J129</f>
        <v>19.0824</v>
      </c>
      <c r="P129" s="2"/>
    </row>
    <row r="130" spans="1:16" ht="15.75" thickBot="1" x14ac:dyDescent="0.3">
      <c r="A130" s="314"/>
      <c r="B130" s="315"/>
      <c r="C130" s="315"/>
      <c r="D130" s="316"/>
      <c r="E130" s="317"/>
      <c r="F130" s="255"/>
      <c r="G130" s="256"/>
      <c r="H130" s="256"/>
      <c r="I130" s="257"/>
      <c r="J130" s="258"/>
      <c r="K130" s="261"/>
      <c r="L130" s="260"/>
      <c r="M130" s="260"/>
      <c r="N130" s="261"/>
      <c r="O130" s="262"/>
      <c r="P130" s="263"/>
    </row>
    <row r="131" spans="1:16" ht="20.100000000000001" customHeight="1" thickBot="1" x14ac:dyDescent="0.3">
      <c r="A131" s="439" t="s">
        <v>1179</v>
      </c>
      <c r="B131" s="440"/>
      <c r="C131" s="440"/>
      <c r="D131" s="441"/>
      <c r="E131" s="286"/>
      <c r="F131" s="33"/>
      <c r="G131" s="82"/>
      <c r="H131" s="82"/>
      <c r="I131" s="257"/>
      <c r="J131" s="258"/>
      <c r="K131" s="261"/>
      <c r="L131" s="260"/>
      <c r="M131" s="260"/>
      <c r="N131" s="261"/>
      <c r="O131" s="262"/>
      <c r="P131" s="263"/>
    </row>
    <row r="132" spans="1:16" ht="15" customHeight="1" x14ac:dyDescent="0.25">
      <c r="A132" s="264">
        <v>1</v>
      </c>
      <c r="B132" s="318"/>
      <c r="C132" s="111"/>
      <c r="D132" s="104" t="s">
        <v>1180</v>
      </c>
      <c r="E132" s="319">
        <v>287.32</v>
      </c>
      <c r="F132" s="33">
        <v>0.1</v>
      </c>
      <c r="G132" s="82">
        <f t="shared" ref="G132:G138" si="57">E132+(E132*F132)</f>
        <v>316.05200000000002</v>
      </c>
      <c r="H132" s="82" t="s">
        <v>1082</v>
      </c>
      <c r="I132" s="265">
        <v>1.51696125</v>
      </c>
      <c r="J132" s="266">
        <f t="shared" ref="J132:J138" si="58">I132*G132</f>
        <v>479.43863698500002</v>
      </c>
      <c r="K132" s="265">
        <f>$K$4</f>
        <v>83</v>
      </c>
      <c r="L132" s="267">
        <v>8.7719999999999985E-3</v>
      </c>
      <c r="M132" s="267">
        <f t="shared" ref="M132:M138" si="59">L132*G132</f>
        <v>2.7724081439999999</v>
      </c>
      <c r="N132" s="266">
        <f t="shared" ref="N132:N138" si="60">M132*K132</f>
        <v>230.10987595199998</v>
      </c>
      <c r="O132" s="313">
        <f t="shared" ref="O132:O138" si="61">J132+N132</f>
        <v>709.54851293699994</v>
      </c>
      <c r="P132" s="320"/>
    </row>
    <row r="133" spans="1:16" ht="15" customHeight="1" x14ac:dyDescent="0.25">
      <c r="A133" s="264">
        <v>2</v>
      </c>
      <c r="B133" s="310"/>
      <c r="C133" s="111"/>
      <c r="D133" s="104" t="s">
        <v>1119</v>
      </c>
      <c r="E133" s="319">
        <v>140</v>
      </c>
      <c r="F133" s="33">
        <v>0.1</v>
      </c>
      <c r="G133" s="82">
        <f t="shared" si="57"/>
        <v>154</v>
      </c>
      <c r="H133" s="82" t="s">
        <v>1082</v>
      </c>
      <c r="I133" s="265">
        <v>0.64428750000000001</v>
      </c>
      <c r="J133" s="266">
        <f t="shared" si="58"/>
        <v>99.220275000000001</v>
      </c>
      <c r="K133" s="265">
        <f t="shared" ref="K133:K138" si="62">$K$4</f>
        <v>83</v>
      </c>
      <c r="L133" s="267">
        <v>6.020000000000001E-3</v>
      </c>
      <c r="M133" s="267">
        <f t="shared" si="59"/>
        <v>0.92708000000000013</v>
      </c>
      <c r="N133" s="266">
        <f t="shared" si="60"/>
        <v>76.947640000000007</v>
      </c>
      <c r="O133" s="313">
        <f t="shared" si="61"/>
        <v>176.16791499999999</v>
      </c>
      <c r="P133" s="320"/>
    </row>
    <row r="134" spans="1:16" ht="15" customHeight="1" x14ac:dyDescent="0.25">
      <c r="A134" s="264">
        <v>3</v>
      </c>
      <c r="B134" s="310"/>
      <c r="C134" s="111"/>
      <c r="D134" s="104" t="s">
        <v>1181</v>
      </c>
      <c r="E134" s="124">
        <v>62</v>
      </c>
      <c r="F134" s="33">
        <v>0.1</v>
      </c>
      <c r="G134" s="82">
        <f t="shared" si="57"/>
        <v>68.2</v>
      </c>
      <c r="H134" s="82" t="s">
        <v>1082</v>
      </c>
      <c r="I134" s="265">
        <v>0.70871625000000005</v>
      </c>
      <c r="J134" s="266">
        <f t="shared" si="58"/>
        <v>48.334448250000008</v>
      </c>
      <c r="K134" s="265">
        <f t="shared" si="62"/>
        <v>83</v>
      </c>
      <c r="L134" s="267">
        <v>7.5249999999999996E-3</v>
      </c>
      <c r="M134" s="267">
        <f t="shared" si="59"/>
        <v>0.51320500000000002</v>
      </c>
      <c r="N134" s="266">
        <f t="shared" si="60"/>
        <v>42.596015000000001</v>
      </c>
      <c r="O134" s="313">
        <f t="shared" si="61"/>
        <v>90.930463250000003</v>
      </c>
      <c r="P134" s="320"/>
    </row>
    <row r="135" spans="1:16" ht="15" customHeight="1" x14ac:dyDescent="0.25">
      <c r="A135" s="264">
        <v>4</v>
      </c>
      <c r="B135" s="310"/>
      <c r="C135" s="111"/>
      <c r="D135" s="104" t="s">
        <v>1182</v>
      </c>
      <c r="E135" s="319">
        <v>141.83000000000001</v>
      </c>
      <c r="F135" s="33">
        <v>0.1</v>
      </c>
      <c r="G135" s="82">
        <f t="shared" si="57"/>
        <v>156.01300000000001</v>
      </c>
      <c r="H135" s="82" t="s">
        <v>1082</v>
      </c>
      <c r="I135" s="265">
        <v>0.35492625</v>
      </c>
      <c r="J135" s="266">
        <f t="shared" si="58"/>
        <v>55.373109041250004</v>
      </c>
      <c r="K135" s="265">
        <f t="shared" si="62"/>
        <v>83</v>
      </c>
      <c r="L135" s="267">
        <v>4.8590000000000005E-3</v>
      </c>
      <c r="M135" s="267">
        <f t="shared" si="59"/>
        <v>0.7580671670000001</v>
      </c>
      <c r="N135" s="266">
        <f t="shared" si="60"/>
        <v>62.919574861000008</v>
      </c>
      <c r="O135" s="313">
        <f t="shared" si="61"/>
        <v>118.29268390225002</v>
      </c>
      <c r="P135" s="320"/>
    </row>
    <row r="136" spans="1:16" ht="15" customHeight="1" x14ac:dyDescent="0.25">
      <c r="A136" s="264">
        <v>5</v>
      </c>
      <c r="B136" s="310"/>
      <c r="C136" s="111"/>
      <c r="D136" s="104" t="s">
        <v>1183</v>
      </c>
      <c r="E136" s="124">
        <v>31</v>
      </c>
      <c r="F136" s="33">
        <v>0.1</v>
      </c>
      <c r="G136" s="82">
        <f t="shared" si="57"/>
        <v>34.1</v>
      </c>
      <c r="H136" s="82" t="s">
        <v>1082</v>
      </c>
      <c r="I136" s="265">
        <v>0.39041887500000005</v>
      </c>
      <c r="J136" s="266">
        <f t="shared" si="58"/>
        <v>13.313283637500003</v>
      </c>
      <c r="K136" s="265">
        <f t="shared" si="62"/>
        <v>83</v>
      </c>
      <c r="L136" s="267">
        <v>6.0737500000000002E-3</v>
      </c>
      <c r="M136" s="267">
        <f t="shared" si="59"/>
        <v>0.207114875</v>
      </c>
      <c r="N136" s="266">
        <f t="shared" si="60"/>
        <v>17.190534625000002</v>
      </c>
      <c r="O136" s="313">
        <f t="shared" si="61"/>
        <v>30.503818262500005</v>
      </c>
      <c r="P136" s="320"/>
    </row>
    <row r="137" spans="1:16" ht="15" customHeight="1" x14ac:dyDescent="0.25">
      <c r="A137" s="264">
        <v>6</v>
      </c>
      <c r="B137" s="310"/>
      <c r="C137" s="111"/>
      <c r="D137" s="104" t="s">
        <v>1184</v>
      </c>
      <c r="E137" s="124">
        <v>15747.1</v>
      </c>
      <c r="F137" s="33">
        <v>0.1</v>
      </c>
      <c r="G137" s="82">
        <f t="shared" si="57"/>
        <v>17321.810000000001</v>
      </c>
      <c r="H137" s="82" t="s">
        <v>1082</v>
      </c>
      <c r="I137" s="265">
        <v>0.23206499999999999</v>
      </c>
      <c r="J137" s="266">
        <f t="shared" si="58"/>
        <v>4019.7858376500003</v>
      </c>
      <c r="K137" s="265">
        <f t="shared" si="62"/>
        <v>83</v>
      </c>
      <c r="L137" s="267">
        <v>4.4290000000000006E-3</v>
      </c>
      <c r="M137" s="267">
        <f t="shared" si="59"/>
        <v>76.718296490000014</v>
      </c>
      <c r="N137" s="266">
        <f t="shared" si="60"/>
        <v>6367.6186086700009</v>
      </c>
      <c r="O137" s="313">
        <f t="shared" si="61"/>
        <v>10387.404446320001</v>
      </c>
      <c r="P137" s="320"/>
    </row>
    <row r="138" spans="1:16" ht="15" customHeight="1" x14ac:dyDescent="0.25">
      <c r="A138" s="264">
        <v>7</v>
      </c>
      <c r="B138" s="310"/>
      <c r="C138" s="111"/>
      <c r="D138" s="104" t="s">
        <v>1164</v>
      </c>
      <c r="E138" s="124">
        <v>772.98</v>
      </c>
      <c r="F138" s="33">
        <v>0.1</v>
      </c>
      <c r="G138" s="82">
        <f t="shared" si="57"/>
        <v>850.27800000000002</v>
      </c>
      <c r="H138" s="82" t="s">
        <v>1082</v>
      </c>
      <c r="I138" s="265">
        <v>1.3725000000000001</v>
      </c>
      <c r="J138" s="266">
        <f t="shared" si="58"/>
        <v>1167.0065550000002</v>
      </c>
      <c r="K138" s="265">
        <f t="shared" si="62"/>
        <v>83</v>
      </c>
      <c r="L138" s="267">
        <v>2.0424999999999999E-2</v>
      </c>
      <c r="M138" s="267">
        <f t="shared" si="59"/>
        <v>17.36692815</v>
      </c>
      <c r="N138" s="266">
        <f t="shared" si="60"/>
        <v>1441.4550364500001</v>
      </c>
      <c r="O138" s="313">
        <f t="shared" si="61"/>
        <v>2608.46159145</v>
      </c>
      <c r="P138" s="320"/>
    </row>
    <row r="139" spans="1:16" ht="15.75" thickBot="1" x14ac:dyDescent="0.3">
      <c r="A139" s="264"/>
      <c r="B139" s="273"/>
      <c r="C139" s="273"/>
      <c r="D139" s="114"/>
      <c r="E139" s="124"/>
      <c r="F139" s="33"/>
      <c r="G139" s="291"/>
      <c r="H139" s="291"/>
      <c r="I139" s="292"/>
      <c r="J139" s="258"/>
      <c r="K139" s="293"/>
      <c r="L139" s="294"/>
      <c r="M139" s="295"/>
      <c r="N139" s="261"/>
      <c r="O139" s="296"/>
      <c r="P139" s="297"/>
    </row>
    <row r="140" spans="1:16" s="3" customFormat="1" ht="16.5" thickBot="1" x14ac:dyDescent="0.3">
      <c r="A140" s="298"/>
      <c r="B140" s="1"/>
      <c r="C140" s="1"/>
      <c r="D140" s="299"/>
      <c r="E140" s="300"/>
      <c r="F140" s="301"/>
      <c r="G140" s="442" t="s">
        <v>12</v>
      </c>
      <c r="H140" s="443"/>
      <c r="I140" s="321">
        <f>SUM(J95:J139)</f>
        <v>19637.185153263752</v>
      </c>
      <c r="J140" s="431" t="s">
        <v>13</v>
      </c>
      <c r="K140" s="432"/>
      <c r="L140" s="303">
        <f>SUM(N95:N139)</f>
        <v>32044.512553998</v>
      </c>
      <c r="M140" s="431" t="s">
        <v>43</v>
      </c>
      <c r="N140" s="432"/>
      <c r="O140" s="304">
        <f>SUM(M96:M139)</f>
        <v>386.07846450600005</v>
      </c>
      <c r="P140" s="305">
        <f>SUM(O95:O139)</f>
        <v>51681.697707261759</v>
      </c>
    </row>
    <row r="141" spans="1:16" ht="15.75" thickBot="1" x14ac:dyDescent="0.3">
      <c r="A141" s="306"/>
      <c r="B141" s="273"/>
      <c r="C141" s="273"/>
      <c r="D141" s="322"/>
      <c r="E141" s="323"/>
      <c r="F141" s="307"/>
      <c r="G141" s="308"/>
      <c r="H141" s="308"/>
      <c r="I141" s="257"/>
      <c r="J141" s="258"/>
      <c r="K141" s="261"/>
      <c r="L141" s="260"/>
      <c r="M141" s="260"/>
      <c r="N141" s="261"/>
      <c r="O141" s="262"/>
      <c r="P141" s="263"/>
    </row>
    <row r="142" spans="1:16" ht="30" customHeight="1" thickBot="1" x14ac:dyDescent="0.3">
      <c r="A142" s="433" t="s">
        <v>1185</v>
      </c>
      <c r="B142" s="434"/>
      <c r="C142" s="434"/>
      <c r="D142" s="434"/>
      <c r="E142" s="434"/>
      <c r="F142" s="434"/>
      <c r="G142" s="434"/>
      <c r="H142" s="435"/>
      <c r="I142" s="309"/>
      <c r="J142" s="261"/>
      <c r="K142" s="261"/>
      <c r="L142" s="260"/>
      <c r="M142" s="260"/>
      <c r="N142" s="261"/>
      <c r="O142" s="262"/>
      <c r="P142" s="263"/>
    </row>
    <row r="143" spans="1:16" ht="20.100000000000001" customHeight="1" thickBot="1" x14ac:dyDescent="0.3">
      <c r="A143" s="436" t="s">
        <v>913</v>
      </c>
      <c r="B143" s="437"/>
      <c r="C143" s="437"/>
      <c r="D143" s="438" t="s">
        <v>913</v>
      </c>
      <c r="E143" s="254"/>
      <c r="F143" s="255"/>
      <c r="G143" s="256"/>
      <c r="H143" s="256"/>
      <c r="I143" s="257"/>
      <c r="J143" s="258"/>
      <c r="K143" s="261"/>
      <c r="L143" s="260"/>
      <c r="M143" s="260"/>
      <c r="N143" s="261"/>
      <c r="O143" s="262"/>
      <c r="P143" s="263"/>
    </row>
    <row r="144" spans="1:16" ht="15" customHeight="1" x14ac:dyDescent="0.25">
      <c r="A144" s="264">
        <v>1</v>
      </c>
      <c r="B144" s="310"/>
      <c r="C144" s="219"/>
      <c r="D144" s="324" t="s">
        <v>1186</v>
      </c>
      <c r="E144" s="280">
        <v>19</v>
      </c>
      <c r="F144" s="33">
        <v>0</v>
      </c>
      <c r="G144" s="82">
        <f t="shared" ref="G144:G152" si="63">E144+(E144*F144)</f>
        <v>19</v>
      </c>
      <c r="H144" s="82" t="s">
        <v>250</v>
      </c>
      <c r="I144" s="325">
        <v>9.36</v>
      </c>
      <c r="J144" s="326">
        <f t="shared" ref="J144:J152" si="64">I144*G144</f>
        <v>177.83999999999997</v>
      </c>
      <c r="K144" s="265">
        <f t="shared" ref="K144:K152" si="65">$K$4</f>
        <v>83</v>
      </c>
      <c r="L144" s="277">
        <v>0.2</v>
      </c>
      <c r="M144" s="327">
        <f t="shared" ref="M144:M152" si="66">L144*G144</f>
        <v>3.8000000000000003</v>
      </c>
      <c r="N144" s="266">
        <f t="shared" ref="N144:N152" si="67">M144*K144</f>
        <v>315.40000000000003</v>
      </c>
      <c r="O144" s="313">
        <f t="shared" ref="O144:O152" si="68">J144+N144</f>
        <v>493.24</v>
      </c>
      <c r="P144" s="2"/>
    </row>
    <row r="145" spans="1:19" x14ac:dyDescent="0.25">
      <c r="A145" s="264">
        <v>2</v>
      </c>
      <c r="B145" s="310"/>
      <c r="C145" s="328"/>
      <c r="D145" s="329" t="s">
        <v>1187</v>
      </c>
      <c r="E145" s="280">
        <v>81</v>
      </c>
      <c r="F145" s="330">
        <v>0</v>
      </c>
      <c r="G145" s="82">
        <f t="shared" si="63"/>
        <v>81</v>
      </c>
      <c r="H145" s="82" t="s">
        <v>250</v>
      </c>
      <c r="I145" s="325">
        <v>7.15</v>
      </c>
      <c r="J145" s="326">
        <f t="shared" si="64"/>
        <v>579.15</v>
      </c>
      <c r="K145" s="265">
        <f t="shared" si="65"/>
        <v>83</v>
      </c>
      <c r="L145" s="277">
        <v>0.2</v>
      </c>
      <c r="M145" s="327">
        <f t="shared" si="66"/>
        <v>16.2</v>
      </c>
      <c r="N145" s="326">
        <f t="shared" si="67"/>
        <v>1344.6</v>
      </c>
      <c r="O145" s="313">
        <f t="shared" si="68"/>
        <v>1923.75</v>
      </c>
      <c r="P145" s="2"/>
    </row>
    <row r="146" spans="1:19" x14ac:dyDescent="0.25">
      <c r="A146" s="264">
        <v>3</v>
      </c>
      <c r="B146" s="310"/>
      <c r="C146" s="328"/>
      <c r="D146" s="329" t="s">
        <v>1188</v>
      </c>
      <c r="E146" s="280">
        <v>8</v>
      </c>
      <c r="F146" s="330">
        <v>0</v>
      </c>
      <c r="G146" s="82">
        <f t="shared" si="63"/>
        <v>8</v>
      </c>
      <c r="H146" s="82" t="s">
        <v>250</v>
      </c>
      <c r="I146" s="325">
        <f>26.26+26.2605</f>
        <v>52.520499999999998</v>
      </c>
      <c r="J146" s="326">
        <f t="shared" si="64"/>
        <v>420.16399999999999</v>
      </c>
      <c r="K146" s="265">
        <f t="shared" si="65"/>
        <v>83</v>
      </c>
      <c r="L146" s="277">
        <v>0.55000000000000004</v>
      </c>
      <c r="M146" s="327">
        <f t="shared" si="66"/>
        <v>4.4000000000000004</v>
      </c>
      <c r="N146" s="326">
        <f t="shared" si="67"/>
        <v>365.20000000000005</v>
      </c>
      <c r="O146" s="313">
        <f t="shared" si="68"/>
        <v>785.36400000000003</v>
      </c>
      <c r="P146" s="2"/>
    </row>
    <row r="147" spans="1:19" x14ac:dyDescent="0.25">
      <c r="A147" s="264">
        <v>4</v>
      </c>
      <c r="B147" s="310"/>
      <c r="C147" s="328"/>
      <c r="D147" s="329" t="s">
        <v>1189</v>
      </c>
      <c r="E147" s="280">
        <v>72</v>
      </c>
      <c r="F147" s="330">
        <v>0</v>
      </c>
      <c r="G147" s="82">
        <f t="shared" si="63"/>
        <v>72</v>
      </c>
      <c r="H147" s="82" t="s">
        <v>250</v>
      </c>
      <c r="I147" s="325">
        <v>26.26</v>
      </c>
      <c r="J147" s="326">
        <f t="shared" si="64"/>
        <v>1890.72</v>
      </c>
      <c r="K147" s="265">
        <f t="shared" si="65"/>
        <v>83</v>
      </c>
      <c r="L147" s="277">
        <v>0.3</v>
      </c>
      <c r="M147" s="327">
        <f t="shared" si="66"/>
        <v>21.599999999999998</v>
      </c>
      <c r="N147" s="326">
        <f t="shared" si="67"/>
        <v>1792.7999999999997</v>
      </c>
      <c r="O147" s="313">
        <f t="shared" si="68"/>
        <v>3683.5199999999995</v>
      </c>
      <c r="P147" s="2"/>
    </row>
    <row r="148" spans="1:19" x14ac:dyDescent="0.25">
      <c r="A148" s="264">
        <v>5</v>
      </c>
      <c r="B148" s="310"/>
      <c r="C148" s="328"/>
      <c r="D148" s="329" t="s">
        <v>1190</v>
      </c>
      <c r="E148" s="280">
        <v>3</v>
      </c>
      <c r="F148" s="330">
        <v>0</v>
      </c>
      <c r="G148" s="82">
        <f t="shared" si="63"/>
        <v>3</v>
      </c>
      <c r="H148" s="82" t="s">
        <v>250</v>
      </c>
      <c r="I148" s="325">
        <v>5.5</v>
      </c>
      <c r="J148" s="326">
        <f t="shared" si="64"/>
        <v>16.5</v>
      </c>
      <c r="K148" s="265">
        <f t="shared" si="65"/>
        <v>83</v>
      </c>
      <c r="L148" s="277">
        <v>0.2</v>
      </c>
      <c r="M148" s="327">
        <f t="shared" si="66"/>
        <v>0.60000000000000009</v>
      </c>
      <c r="N148" s="326">
        <f t="shared" si="67"/>
        <v>49.800000000000004</v>
      </c>
      <c r="O148" s="313">
        <f t="shared" si="68"/>
        <v>66.300000000000011</v>
      </c>
      <c r="P148" s="2"/>
    </row>
    <row r="149" spans="1:19" x14ac:dyDescent="0.25">
      <c r="A149" s="264">
        <v>6</v>
      </c>
      <c r="B149" s="310"/>
      <c r="C149" s="328"/>
      <c r="D149" s="329" t="s">
        <v>1191</v>
      </c>
      <c r="E149" s="280">
        <v>6</v>
      </c>
      <c r="F149" s="330">
        <v>0</v>
      </c>
      <c r="G149" s="82">
        <f t="shared" si="63"/>
        <v>6</v>
      </c>
      <c r="H149" s="82" t="s">
        <v>250</v>
      </c>
      <c r="I149" s="325">
        <v>19.68</v>
      </c>
      <c r="J149" s="326">
        <f t="shared" si="64"/>
        <v>118.08</v>
      </c>
      <c r="K149" s="265">
        <f t="shared" si="65"/>
        <v>83</v>
      </c>
      <c r="L149" s="277">
        <v>0.2</v>
      </c>
      <c r="M149" s="327">
        <f t="shared" si="66"/>
        <v>1.2000000000000002</v>
      </c>
      <c r="N149" s="326">
        <f t="shared" si="67"/>
        <v>99.600000000000009</v>
      </c>
      <c r="O149" s="313">
        <f t="shared" si="68"/>
        <v>217.68</v>
      </c>
      <c r="P149" s="2"/>
    </row>
    <row r="150" spans="1:19" s="84" customFormat="1" ht="15" customHeight="1" x14ac:dyDescent="0.25">
      <c r="A150" s="264">
        <v>7</v>
      </c>
      <c r="B150" s="310"/>
      <c r="C150" s="331"/>
      <c r="D150" s="332" t="s">
        <v>1192</v>
      </c>
      <c r="E150" s="333">
        <v>1</v>
      </c>
      <c r="F150" s="312">
        <v>0</v>
      </c>
      <c r="G150" s="82">
        <f t="shared" si="63"/>
        <v>1</v>
      </c>
      <c r="H150" s="82" t="s">
        <v>250</v>
      </c>
      <c r="I150" s="325">
        <v>42.42</v>
      </c>
      <c r="J150" s="326">
        <f t="shared" si="64"/>
        <v>42.42</v>
      </c>
      <c r="K150" s="265">
        <f t="shared" si="65"/>
        <v>83</v>
      </c>
      <c r="L150" s="277">
        <v>0.3</v>
      </c>
      <c r="M150" s="327">
        <f t="shared" si="66"/>
        <v>0.3</v>
      </c>
      <c r="N150" s="266">
        <f t="shared" si="67"/>
        <v>24.9</v>
      </c>
      <c r="O150" s="313">
        <f t="shared" si="68"/>
        <v>67.319999999999993</v>
      </c>
      <c r="P150" s="2"/>
      <c r="Q150" s="243"/>
      <c r="S150" s="243"/>
    </row>
    <row r="151" spans="1:19" x14ac:dyDescent="0.25">
      <c r="A151" s="264">
        <v>8</v>
      </c>
      <c r="B151" s="310"/>
      <c r="C151" s="328"/>
      <c r="D151" s="329" t="s">
        <v>1193</v>
      </c>
      <c r="E151" s="280">
        <v>4</v>
      </c>
      <c r="F151" s="330">
        <v>0</v>
      </c>
      <c r="G151" s="82">
        <f t="shared" si="63"/>
        <v>4</v>
      </c>
      <c r="H151" s="82" t="s">
        <v>250</v>
      </c>
      <c r="I151" s="325">
        <v>16.16</v>
      </c>
      <c r="J151" s="326">
        <f t="shared" si="64"/>
        <v>64.64</v>
      </c>
      <c r="K151" s="265">
        <f t="shared" si="65"/>
        <v>83</v>
      </c>
      <c r="L151" s="277">
        <v>0.36</v>
      </c>
      <c r="M151" s="327">
        <f t="shared" si="66"/>
        <v>1.44</v>
      </c>
      <c r="N151" s="326">
        <f t="shared" si="67"/>
        <v>119.52</v>
      </c>
      <c r="O151" s="313">
        <f t="shared" si="68"/>
        <v>184.16</v>
      </c>
      <c r="P151" s="2"/>
    </row>
    <row r="152" spans="1:19" x14ac:dyDescent="0.25">
      <c r="A152" s="264">
        <v>9</v>
      </c>
      <c r="B152" s="310"/>
      <c r="C152" s="328"/>
      <c r="D152" s="329" t="s">
        <v>1194</v>
      </c>
      <c r="E152" s="280">
        <v>5</v>
      </c>
      <c r="F152" s="330">
        <v>0</v>
      </c>
      <c r="G152" s="82">
        <f t="shared" si="63"/>
        <v>5</v>
      </c>
      <c r="H152" s="82" t="s">
        <v>250</v>
      </c>
      <c r="I152" s="325">
        <v>45</v>
      </c>
      <c r="J152" s="326">
        <f t="shared" si="64"/>
        <v>225</v>
      </c>
      <c r="K152" s="265">
        <f t="shared" si="65"/>
        <v>83</v>
      </c>
      <c r="L152" s="277">
        <v>0.5</v>
      </c>
      <c r="M152" s="327">
        <f t="shared" si="66"/>
        <v>2.5</v>
      </c>
      <c r="N152" s="326">
        <f t="shared" si="67"/>
        <v>207.5</v>
      </c>
      <c r="O152" s="313">
        <f t="shared" si="68"/>
        <v>432.5</v>
      </c>
      <c r="P152" s="2"/>
    </row>
    <row r="153" spans="1:19" ht="15.75" thickBot="1" x14ac:dyDescent="0.3">
      <c r="A153" s="264"/>
      <c r="B153" s="273"/>
      <c r="C153" s="273"/>
      <c r="D153" s="114"/>
      <c r="E153" s="124"/>
      <c r="F153" s="33"/>
      <c r="G153" s="291"/>
      <c r="H153" s="291"/>
      <c r="I153" s="292"/>
      <c r="J153" s="258"/>
      <c r="K153" s="293"/>
      <c r="L153" s="294"/>
      <c r="M153" s="295"/>
      <c r="N153" s="261"/>
      <c r="O153" s="296"/>
      <c r="P153" s="297"/>
    </row>
    <row r="154" spans="1:19" s="3" customFormat="1" ht="16.5" thickBot="1" x14ac:dyDescent="0.3">
      <c r="A154" s="298"/>
      <c r="B154" s="1"/>
      <c r="C154" s="1"/>
      <c r="D154" s="299"/>
      <c r="E154" s="300"/>
      <c r="F154" s="301"/>
      <c r="G154" s="442" t="s">
        <v>12</v>
      </c>
      <c r="H154" s="443"/>
      <c r="I154" s="321">
        <f>SUM(J142:J153)</f>
        <v>3534.5139999999997</v>
      </c>
      <c r="J154" s="431" t="s">
        <v>13</v>
      </c>
      <c r="K154" s="432"/>
      <c r="L154" s="303">
        <f>SUM(N142:N153)</f>
        <v>4319.3200000000006</v>
      </c>
      <c r="M154" s="431" t="s">
        <v>43</v>
      </c>
      <c r="N154" s="432"/>
      <c r="O154" s="304">
        <f>SUM(M143:M153)</f>
        <v>52.04</v>
      </c>
      <c r="P154" s="305">
        <f>SUM(O142:O153)</f>
        <v>7853.8339999999998</v>
      </c>
    </row>
    <row r="155" spans="1:19" ht="15.75" thickBot="1" x14ac:dyDescent="0.3">
      <c r="A155" s="334"/>
      <c r="B155" s="335"/>
      <c r="C155" s="336"/>
      <c r="D155" s="337"/>
      <c r="E155" s="338"/>
      <c r="F155" s="307"/>
      <c r="G155" s="308"/>
      <c r="H155" s="308"/>
      <c r="I155" s="257"/>
      <c r="J155" s="261"/>
      <c r="K155" s="261"/>
      <c r="L155" s="260"/>
      <c r="M155" s="339"/>
      <c r="N155" s="261"/>
      <c r="O155" s="262"/>
      <c r="P155" s="263"/>
    </row>
    <row r="156" spans="1:19" ht="30" customHeight="1" thickBot="1" x14ac:dyDescent="0.3">
      <c r="A156" s="433" t="s">
        <v>1195</v>
      </c>
      <c r="B156" s="434"/>
      <c r="C156" s="434"/>
      <c r="D156" s="434"/>
      <c r="E156" s="434"/>
      <c r="F156" s="434"/>
      <c r="G156" s="434"/>
      <c r="H156" s="435"/>
      <c r="I156" s="309"/>
      <c r="J156" s="261"/>
      <c r="K156" s="261"/>
      <c r="L156" s="260"/>
      <c r="M156" s="260"/>
      <c r="N156" s="261"/>
      <c r="O156" s="262"/>
      <c r="P156" s="263"/>
    </row>
    <row r="157" spans="1:19" ht="20.100000000000001" customHeight="1" thickBot="1" x14ac:dyDescent="0.3">
      <c r="A157" s="436" t="s">
        <v>1195</v>
      </c>
      <c r="B157" s="437"/>
      <c r="C157" s="437"/>
      <c r="D157" s="438" t="s">
        <v>913</v>
      </c>
      <c r="E157" s="254"/>
      <c r="F157" s="255"/>
      <c r="G157" s="256"/>
      <c r="H157" s="256"/>
      <c r="I157" s="257"/>
      <c r="J157" s="258"/>
      <c r="K157" s="261"/>
      <c r="L157" s="260"/>
      <c r="M157" s="260"/>
      <c r="N157" s="261"/>
      <c r="O157" s="262"/>
      <c r="P157" s="263"/>
    </row>
    <row r="158" spans="1:19" x14ac:dyDescent="0.25">
      <c r="A158" s="314">
        <v>1</v>
      </c>
      <c r="B158" s="310"/>
      <c r="C158" s="282"/>
      <c r="D158" s="219" t="s">
        <v>1196</v>
      </c>
      <c r="E158" s="284">
        <v>24</v>
      </c>
      <c r="F158" s="272">
        <v>0</v>
      </c>
      <c r="G158" s="271">
        <f t="shared" ref="G158:G170" si="69">E158+(E158*F158)</f>
        <v>24</v>
      </c>
      <c r="H158" s="271" t="s">
        <v>250</v>
      </c>
      <c r="I158" s="274">
        <v>155.25</v>
      </c>
      <c r="J158" s="266">
        <f t="shared" ref="J158:J170" si="70">I158*G158</f>
        <v>3726</v>
      </c>
      <c r="K158" s="265">
        <f t="shared" ref="K158:K170" si="71">$K$4</f>
        <v>83</v>
      </c>
      <c r="L158" s="277">
        <v>0.85</v>
      </c>
      <c r="M158" s="267">
        <f t="shared" ref="M158:M170" si="72">L158*G158</f>
        <v>20.399999999999999</v>
      </c>
      <c r="N158" s="274">
        <f t="shared" ref="N158:N170" si="73">K158*M158</f>
        <v>1693.1999999999998</v>
      </c>
      <c r="O158" s="278">
        <f t="shared" ref="O158:O170" si="74">J158+N158</f>
        <v>5419.2</v>
      </c>
      <c r="P158" s="2"/>
    </row>
    <row r="159" spans="1:19" x14ac:dyDescent="0.25">
      <c r="A159" s="314">
        <v>2</v>
      </c>
      <c r="B159" s="310"/>
      <c r="C159" s="104"/>
      <c r="D159" s="89" t="s">
        <v>1197</v>
      </c>
      <c r="E159" s="284">
        <v>18</v>
      </c>
      <c r="F159" s="272">
        <v>0</v>
      </c>
      <c r="G159" s="271">
        <f t="shared" si="69"/>
        <v>18</v>
      </c>
      <c r="H159" s="271" t="s">
        <v>250</v>
      </c>
      <c r="I159" s="274">
        <v>174.26</v>
      </c>
      <c r="J159" s="266">
        <f t="shared" si="70"/>
        <v>3136.68</v>
      </c>
      <c r="K159" s="265">
        <f t="shared" si="71"/>
        <v>83</v>
      </c>
      <c r="L159" s="277">
        <v>0.65</v>
      </c>
      <c r="M159" s="267">
        <f t="shared" si="72"/>
        <v>11.700000000000001</v>
      </c>
      <c r="N159" s="274">
        <f t="shared" si="73"/>
        <v>971.10000000000014</v>
      </c>
      <c r="O159" s="278">
        <f t="shared" si="74"/>
        <v>4107.78</v>
      </c>
      <c r="P159" s="2"/>
    </row>
    <row r="160" spans="1:19" ht="30" x14ac:dyDescent="0.25">
      <c r="A160" s="314">
        <v>3</v>
      </c>
      <c r="B160" s="310"/>
      <c r="C160" s="104"/>
      <c r="D160" s="89" t="s">
        <v>1198</v>
      </c>
      <c r="E160" s="284">
        <v>6</v>
      </c>
      <c r="F160" s="272">
        <v>0</v>
      </c>
      <c r="G160" s="271">
        <f t="shared" si="69"/>
        <v>6</v>
      </c>
      <c r="H160" s="271" t="s">
        <v>250</v>
      </c>
      <c r="I160" s="274">
        <v>210.25</v>
      </c>
      <c r="J160" s="266">
        <f t="shared" si="70"/>
        <v>1261.5</v>
      </c>
      <c r="K160" s="265">
        <f t="shared" si="71"/>
        <v>83</v>
      </c>
      <c r="L160" s="277">
        <v>0.73</v>
      </c>
      <c r="M160" s="267">
        <f t="shared" si="72"/>
        <v>4.38</v>
      </c>
      <c r="N160" s="274">
        <f t="shared" si="73"/>
        <v>363.53999999999996</v>
      </c>
      <c r="O160" s="278">
        <f t="shared" si="74"/>
        <v>1625.04</v>
      </c>
      <c r="P160" s="2"/>
    </row>
    <row r="161" spans="1:19" x14ac:dyDescent="0.25">
      <c r="A161" s="314">
        <v>4</v>
      </c>
      <c r="B161" s="310"/>
      <c r="C161" s="104"/>
      <c r="D161" s="89" t="s">
        <v>1199</v>
      </c>
      <c r="E161" s="284">
        <v>2</v>
      </c>
      <c r="F161" s="272">
        <v>0</v>
      </c>
      <c r="G161" s="271">
        <f t="shared" si="69"/>
        <v>2</v>
      </c>
      <c r="H161" s="271" t="s">
        <v>250</v>
      </c>
      <c r="I161" s="274">
        <v>88.25</v>
      </c>
      <c r="J161" s="266">
        <f t="shared" si="70"/>
        <v>176.5</v>
      </c>
      <c r="K161" s="265">
        <f t="shared" si="71"/>
        <v>83</v>
      </c>
      <c r="L161" s="277">
        <v>0.65</v>
      </c>
      <c r="M161" s="267">
        <f t="shared" si="72"/>
        <v>1.3</v>
      </c>
      <c r="N161" s="274">
        <f t="shared" si="73"/>
        <v>107.9</v>
      </c>
      <c r="O161" s="278">
        <f t="shared" si="74"/>
        <v>284.39999999999998</v>
      </c>
      <c r="P161" s="2"/>
    </row>
    <row r="162" spans="1:19" x14ac:dyDescent="0.25">
      <c r="A162" s="314">
        <v>5</v>
      </c>
      <c r="B162" s="310"/>
      <c r="C162" s="104"/>
      <c r="D162" s="89" t="s">
        <v>1200</v>
      </c>
      <c r="E162" s="284">
        <v>16</v>
      </c>
      <c r="F162" s="272">
        <v>0</v>
      </c>
      <c r="G162" s="271">
        <f t="shared" si="69"/>
        <v>16</v>
      </c>
      <c r="H162" s="271" t="s">
        <v>250</v>
      </c>
      <c r="I162" s="274">
        <v>156.25</v>
      </c>
      <c r="J162" s="266">
        <f t="shared" si="70"/>
        <v>2500</v>
      </c>
      <c r="K162" s="265">
        <f t="shared" si="71"/>
        <v>83</v>
      </c>
      <c r="L162" s="277">
        <v>1</v>
      </c>
      <c r="M162" s="267">
        <f t="shared" si="72"/>
        <v>16</v>
      </c>
      <c r="N162" s="274">
        <f t="shared" si="73"/>
        <v>1328</v>
      </c>
      <c r="O162" s="278">
        <f t="shared" si="74"/>
        <v>3828</v>
      </c>
      <c r="P162" s="2"/>
    </row>
    <row r="163" spans="1:19" ht="30" x14ac:dyDescent="0.25">
      <c r="A163" s="314">
        <v>6</v>
      </c>
      <c r="B163" s="310"/>
      <c r="C163" s="104"/>
      <c r="D163" s="89" t="s">
        <v>1201</v>
      </c>
      <c r="E163" s="284">
        <v>3</v>
      </c>
      <c r="F163" s="272">
        <v>0</v>
      </c>
      <c r="G163" s="271">
        <f t="shared" si="69"/>
        <v>3</v>
      </c>
      <c r="H163" s="271" t="s">
        <v>250</v>
      </c>
      <c r="I163" s="274">
        <v>177.25</v>
      </c>
      <c r="J163" s="266">
        <f t="shared" si="70"/>
        <v>531.75</v>
      </c>
      <c r="K163" s="265">
        <f t="shared" si="71"/>
        <v>83</v>
      </c>
      <c r="L163" s="277">
        <v>0.65</v>
      </c>
      <c r="M163" s="267">
        <f t="shared" si="72"/>
        <v>1.9500000000000002</v>
      </c>
      <c r="N163" s="274">
        <f t="shared" si="73"/>
        <v>161.85000000000002</v>
      </c>
      <c r="O163" s="278">
        <f t="shared" si="74"/>
        <v>693.6</v>
      </c>
      <c r="P163" s="2"/>
    </row>
    <row r="164" spans="1:19" x14ac:dyDescent="0.25">
      <c r="A164" s="314">
        <v>7</v>
      </c>
      <c r="B164" s="310"/>
      <c r="C164" s="104"/>
      <c r="D164" s="324" t="s">
        <v>1202</v>
      </c>
      <c r="E164" s="284">
        <v>10</v>
      </c>
      <c r="F164" s="272">
        <v>0</v>
      </c>
      <c r="G164" s="271">
        <f t="shared" si="69"/>
        <v>10</v>
      </c>
      <c r="H164" s="271" t="s">
        <v>250</v>
      </c>
      <c r="I164" s="274">
        <v>152.44999999999999</v>
      </c>
      <c r="J164" s="266">
        <f t="shared" si="70"/>
        <v>1524.5</v>
      </c>
      <c r="K164" s="265">
        <f t="shared" si="71"/>
        <v>83</v>
      </c>
      <c r="L164" s="277">
        <v>0.85</v>
      </c>
      <c r="M164" s="267">
        <f t="shared" si="72"/>
        <v>8.5</v>
      </c>
      <c r="N164" s="274">
        <f t="shared" si="73"/>
        <v>705.5</v>
      </c>
      <c r="O164" s="278">
        <f t="shared" si="74"/>
        <v>2230</v>
      </c>
      <c r="P164" s="2"/>
    </row>
    <row r="165" spans="1:19" ht="30" x14ac:dyDescent="0.25">
      <c r="A165" s="314">
        <v>8</v>
      </c>
      <c r="B165" s="310"/>
      <c r="C165" s="104"/>
      <c r="D165" s="89" t="s">
        <v>1203</v>
      </c>
      <c r="E165" s="284">
        <v>2</v>
      </c>
      <c r="F165" s="272">
        <v>0</v>
      </c>
      <c r="G165" s="271">
        <f t="shared" si="69"/>
        <v>2</v>
      </c>
      <c r="H165" s="271" t="s">
        <v>250</v>
      </c>
      <c r="I165" s="274">
        <v>165.22</v>
      </c>
      <c r="J165" s="266">
        <f t="shared" si="70"/>
        <v>330.44</v>
      </c>
      <c r="K165" s="265">
        <f t="shared" si="71"/>
        <v>83</v>
      </c>
      <c r="L165" s="277">
        <v>0.73</v>
      </c>
      <c r="M165" s="267">
        <f t="shared" si="72"/>
        <v>1.46</v>
      </c>
      <c r="N165" s="274">
        <f t="shared" si="73"/>
        <v>121.17999999999999</v>
      </c>
      <c r="O165" s="278">
        <f t="shared" si="74"/>
        <v>451.62</v>
      </c>
      <c r="P165" s="2"/>
    </row>
    <row r="166" spans="1:19" x14ac:dyDescent="0.25">
      <c r="A166" s="314">
        <v>9</v>
      </c>
      <c r="B166" s="310"/>
      <c r="C166" s="104"/>
      <c r="D166" s="89" t="s">
        <v>1204</v>
      </c>
      <c r="E166" s="284">
        <v>11</v>
      </c>
      <c r="F166" s="272">
        <v>0</v>
      </c>
      <c r="G166" s="271">
        <f t="shared" si="69"/>
        <v>11</v>
      </c>
      <c r="H166" s="271" t="s">
        <v>250</v>
      </c>
      <c r="I166" s="274">
        <v>145.55000000000001</v>
      </c>
      <c r="J166" s="266">
        <f t="shared" si="70"/>
        <v>1601.0500000000002</v>
      </c>
      <c r="K166" s="265">
        <f t="shared" si="71"/>
        <v>83</v>
      </c>
      <c r="L166" s="277">
        <v>0.67</v>
      </c>
      <c r="M166" s="267">
        <f t="shared" si="72"/>
        <v>7.37</v>
      </c>
      <c r="N166" s="274">
        <f t="shared" si="73"/>
        <v>611.71</v>
      </c>
      <c r="O166" s="278">
        <f t="shared" si="74"/>
        <v>2212.7600000000002</v>
      </c>
      <c r="P166" s="2"/>
    </row>
    <row r="167" spans="1:19" ht="30" x14ac:dyDescent="0.25">
      <c r="A167" s="314">
        <v>10</v>
      </c>
      <c r="B167" s="310"/>
      <c r="C167" s="104"/>
      <c r="D167" s="89" t="s">
        <v>1205</v>
      </c>
      <c r="E167" s="284">
        <v>4</v>
      </c>
      <c r="F167" s="272">
        <v>0</v>
      </c>
      <c r="G167" s="271">
        <f t="shared" si="69"/>
        <v>4</v>
      </c>
      <c r="H167" s="271" t="s">
        <v>250</v>
      </c>
      <c r="I167" s="274">
        <v>175.22</v>
      </c>
      <c r="J167" s="266">
        <f t="shared" si="70"/>
        <v>700.88</v>
      </c>
      <c r="K167" s="265">
        <f t="shared" si="71"/>
        <v>83</v>
      </c>
      <c r="L167" s="277">
        <v>0.7</v>
      </c>
      <c r="M167" s="267">
        <f t="shared" si="72"/>
        <v>2.8</v>
      </c>
      <c r="N167" s="274">
        <f t="shared" si="73"/>
        <v>232.39999999999998</v>
      </c>
      <c r="O167" s="278">
        <f t="shared" si="74"/>
        <v>933.28</v>
      </c>
      <c r="P167" s="2"/>
    </row>
    <row r="168" spans="1:19" ht="30" x14ac:dyDescent="0.25">
      <c r="A168" s="314">
        <v>11</v>
      </c>
      <c r="B168" s="310"/>
      <c r="C168" s="104"/>
      <c r="D168" s="89" t="s">
        <v>1206</v>
      </c>
      <c r="E168" s="284">
        <v>9</v>
      </c>
      <c r="F168" s="272">
        <v>0</v>
      </c>
      <c r="G168" s="271">
        <f t="shared" si="69"/>
        <v>9</v>
      </c>
      <c r="H168" s="271" t="s">
        <v>250</v>
      </c>
      <c r="I168" s="340"/>
      <c r="J168" s="266">
        <f t="shared" si="70"/>
        <v>0</v>
      </c>
      <c r="K168" s="265">
        <f t="shared" si="71"/>
        <v>83</v>
      </c>
      <c r="L168" s="277">
        <v>2.4</v>
      </c>
      <c r="M168" s="267">
        <f t="shared" si="72"/>
        <v>21.599999999999998</v>
      </c>
      <c r="N168" s="274">
        <f t="shared" si="73"/>
        <v>1792.7999999999997</v>
      </c>
      <c r="O168" s="278">
        <f t="shared" si="74"/>
        <v>1792.7999999999997</v>
      </c>
      <c r="P168" s="2"/>
    </row>
    <row r="169" spans="1:19" ht="30" x14ac:dyDescent="0.25">
      <c r="A169" s="314">
        <v>12</v>
      </c>
      <c r="B169" s="310"/>
      <c r="C169" s="104"/>
      <c r="D169" s="89" t="s">
        <v>1207</v>
      </c>
      <c r="E169" s="284">
        <v>3</v>
      </c>
      <c r="F169" s="272">
        <v>0</v>
      </c>
      <c r="G169" s="271">
        <f t="shared" si="69"/>
        <v>3</v>
      </c>
      <c r="H169" s="271" t="s">
        <v>250</v>
      </c>
      <c r="I169" s="340"/>
      <c r="J169" s="266">
        <f t="shared" si="70"/>
        <v>0</v>
      </c>
      <c r="K169" s="265">
        <f t="shared" si="71"/>
        <v>83</v>
      </c>
      <c r="L169" s="277">
        <v>2.6</v>
      </c>
      <c r="M169" s="267">
        <f t="shared" si="72"/>
        <v>7.8000000000000007</v>
      </c>
      <c r="N169" s="274">
        <f t="shared" si="73"/>
        <v>647.40000000000009</v>
      </c>
      <c r="O169" s="278">
        <f t="shared" si="74"/>
        <v>647.40000000000009</v>
      </c>
      <c r="P169" s="2"/>
    </row>
    <row r="170" spans="1:19" x14ac:dyDescent="0.25">
      <c r="A170" s="314">
        <v>13</v>
      </c>
      <c r="B170" s="310"/>
      <c r="C170" s="104"/>
      <c r="D170" s="89" t="s">
        <v>1208</v>
      </c>
      <c r="E170" s="284">
        <v>7</v>
      </c>
      <c r="F170" s="272">
        <v>0</v>
      </c>
      <c r="G170" s="271">
        <f t="shared" si="69"/>
        <v>7</v>
      </c>
      <c r="H170" s="271" t="s">
        <v>250</v>
      </c>
      <c r="I170" s="274">
        <v>150</v>
      </c>
      <c r="J170" s="266">
        <f t="shared" si="70"/>
        <v>1050</v>
      </c>
      <c r="K170" s="265">
        <f t="shared" si="71"/>
        <v>83</v>
      </c>
      <c r="L170" s="277">
        <v>0.73</v>
      </c>
      <c r="M170" s="267">
        <f t="shared" si="72"/>
        <v>5.1099999999999994</v>
      </c>
      <c r="N170" s="274">
        <f t="shared" si="73"/>
        <v>424.12999999999994</v>
      </c>
      <c r="O170" s="278">
        <f t="shared" si="74"/>
        <v>1474.1299999999999</v>
      </c>
      <c r="P170" s="2"/>
    </row>
    <row r="171" spans="1:19" ht="15.75" thickBot="1" x14ac:dyDescent="0.3">
      <c r="A171" s="264"/>
      <c r="B171" s="273"/>
      <c r="C171" s="273"/>
      <c r="D171" s="114"/>
      <c r="E171" s="124"/>
      <c r="F171" s="33"/>
      <c r="G171" s="291"/>
      <c r="H171" s="291"/>
      <c r="I171" s="292"/>
      <c r="J171" s="258"/>
      <c r="K171" s="293"/>
      <c r="L171" s="294"/>
      <c r="M171" s="295"/>
      <c r="N171" s="261"/>
      <c r="O171" s="296"/>
      <c r="P171" s="341"/>
    </row>
    <row r="172" spans="1:19" s="3" customFormat="1" ht="16.5" thickBot="1" x14ac:dyDescent="0.3">
      <c r="A172" s="298"/>
      <c r="B172" s="1"/>
      <c r="C172" s="1"/>
      <c r="D172" s="299"/>
      <c r="E172" s="300"/>
      <c r="F172" s="301"/>
      <c r="G172" s="442" t="s">
        <v>12</v>
      </c>
      <c r="H172" s="443"/>
      <c r="I172" s="321">
        <f>SUM(J156:J171)</f>
        <v>16539.300000000003</v>
      </c>
      <c r="J172" s="431" t="s">
        <v>13</v>
      </c>
      <c r="K172" s="432"/>
      <c r="L172" s="303">
        <f>SUM(N156:N171)</f>
        <v>9160.7099999999991</v>
      </c>
      <c r="M172" s="431" t="s">
        <v>43</v>
      </c>
      <c r="N172" s="432"/>
      <c r="O172" s="304">
        <f>SUM(M157:M171)</f>
        <v>110.36999999999999</v>
      </c>
      <c r="P172" s="305">
        <f>SUM(O156:O171)</f>
        <v>25700.010000000002</v>
      </c>
    </row>
    <row r="173" spans="1:19" ht="15.75" thickBot="1" x14ac:dyDescent="0.3">
      <c r="A173" s="306"/>
      <c r="B173" s="273"/>
      <c r="C173" s="273"/>
      <c r="D173" s="322"/>
      <c r="E173" s="323"/>
      <c r="F173" s="307"/>
      <c r="G173" s="308"/>
      <c r="H173" s="308"/>
      <c r="I173" s="257"/>
      <c r="J173" s="258"/>
      <c r="K173" s="261"/>
      <c r="L173" s="260"/>
      <c r="M173" s="260"/>
      <c r="N173" s="261"/>
      <c r="O173" s="262"/>
      <c r="P173" s="2"/>
    </row>
    <row r="174" spans="1:19" ht="30" customHeight="1" thickBot="1" x14ac:dyDescent="0.3">
      <c r="A174" s="433" t="s">
        <v>1209</v>
      </c>
      <c r="B174" s="434"/>
      <c r="C174" s="434"/>
      <c r="D174" s="434"/>
      <c r="E174" s="434"/>
      <c r="F174" s="434"/>
      <c r="G174" s="434"/>
      <c r="H174" s="435"/>
      <c r="I174" s="309"/>
      <c r="J174" s="261"/>
      <c r="K174" s="261"/>
      <c r="L174" s="260"/>
      <c r="M174" s="260"/>
      <c r="N174" s="261"/>
      <c r="O174" s="262"/>
      <c r="P174" s="263"/>
    </row>
    <row r="175" spans="1:19" x14ac:dyDescent="0.25">
      <c r="A175" s="314">
        <v>1</v>
      </c>
      <c r="B175" s="310"/>
      <c r="C175" s="282"/>
      <c r="D175" s="219" t="s">
        <v>1210</v>
      </c>
      <c r="E175" s="317">
        <v>18</v>
      </c>
      <c r="F175" s="342">
        <v>0</v>
      </c>
      <c r="G175" s="343">
        <f t="shared" ref="G175:G180" si="75">E175+(E175*F175)</f>
        <v>18</v>
      </c>
      <c r="H175" s="343" t="s">
        <v>250</v>
      </c>
      <c r="I175" s="265">
        <v>102</v>
      </c>
      <c r="J175" s="266">
        <f t="shared" ref="J175:J180" si="76">I175*G175</f>
        <v>1836</v>
      </c>
      <c r="K175" s="265">
        <f t="shared" ref="K175:K180" si="77">$K$4</f>
        <v>83</v>
      </c>
      <c r="L175" s="267">
        <v>0.8</v>
      </c>
      <c r="M175" s="267">
        <f t="shared" ref="M175:M180" si="78">L175*G175</f>
        <v>14.4</v>
      </c>
      <c r="N175" s="266">
        <f t="shared" ref="N175:N180" si="79">M175*K175</f>
        <v>1195.2</v>
      </c>
      <c r="O175" s="278">
        <f t="shared" ref="O175:O180" si="80">J175+N175</f>
        <v>3031.2</v>
      </c>
      <c r="P175" s="2"/>
    </row>
    <row r="176" spans="1:19" s="84" customFormat="1" x14ac:dyDescent="0.25">
      <c r="A176" s="264">
        <v>2</v>
      </c>
      <c r="B176" s="310"/>
      <c r="C176" s="104"/>
      <c r="D176" s="104" t="s">
        <v>1211</v>
      </c>
      <c r="E176" s="124">
        <v>12</v>
      </c>
      <c r="F176" s="344">
        <v>0</v>
      </c>
      <c r="G176" s="271">
        <f t="shared" si="75"/>
        <v>12</v>
      </c>
      <c r="H176" s="343" t="s">
        <v>250</v>
      </c>
      <c r="I176" s="265">
        <v>26.26</v>
      </c>
      <c r="J176" s="266">
        <f t="shared" si="76"/>
        <v>315.12</v>
      </c>
      <c r="K176" s="265">
        <f t="shared" si="77"/>
        <v>83</v>
      </c>
      <c r="L176" s="267">
        <v>0.36</v>
      </c>
      <c r="M176" s="267">
        <f t="shared" si="78"/>
        <v>4.32</v>
      </c>
      <c r="N176" s="266">
        <f t="shared" si="79"/>
        <v>358.56</v>
      </c>
      <c r="O176" s="278">
        <f t="shared" si="80"/>
        <v>673.68000000000006</v>
      </c>
      <c r="P176" s="2"/>
      <c r="Q176" s="243"/>
      <c r="S176" s="243"/>
    </row>
    <row r="177" spans="1:19" s="84" customFormat="1" x14ac:dyDescent="0.25">
      <c r="A177" s="264">
        <v>3</v>
      </c>
      <c r="B177" s="310"/>
      <c r="C177" s="104"/>
      <c r="D177" s="104" t="s">
        <v>1212</v>
      </c>
      <c r="E177" s="124">
        <v>10</v>
      </c>
      <c r="F177" s="344">
        <v>0</v>
      </c>
      <c r="G177" s="271">
        <f t="shared" si="75"/>
        <v>10</v>
      </c>
      <c r="H177" s="343" t="s">
        <v>250</v>
      </c>
      <c r="I177" s="265">
        <v>6.32</v>
      </c>
      <c r="J177" s="266">
        <f t="shared" si="76"/>
        <v>63.2</v>
      </c>
      <c r="K177" s="265">
        <f t="shared" si="77"/>
        <v>83</v>
      </c>
      <c r="L177" s="267">
        <v>0.16</v>
      </c>
      <c r="M177" s="267">
        <f t="shared" si="78"/>
        <v>1.6</v>
      </c>
      <c r="N177" s="266">
        <f t="shared" si="79"/>
        <v>132.80000000000001</v>
      </c>
      <c r="O177" s="278">
        <f t="shared" si="80"/>
        <v>196</v>
      </c>
      <c r="P177" s="2"/>
      <c r="Q177" s="243"/>
      <c r="S177" s="243"/>
    </row>
    <row r="178" spans="1:19" s="84" customFormat="1" x14ac:dyDescent="0.25">
      <c r="A178" s="264">
        <v>4</v>
      </c>
      <c r="B178" s="310"/>
      <c r="C178" s="104"/>
      <c r="D178" s="104" t="s">
        <v>1213</v>
      </c>
      <c r="E178" s="124">
        <v>4</v>
      </c>
      <c r="F178" s="344">
        <v>0</v>
      </c>
      <c r="G178" s="271">
        <f t="shared" si="75"/>
        <v>4</v>
      </c>
      <c r="H178" s="343" t="s">
        <v>250</v>
      </c>
      <c r="I178" s="265">
        <v>88.36</v>
      </c>
      <c r="J178" s="266">
        <f t="shared" si="76"/>
        <v>353.44</v>
      </c>
      <c r="K178" s="265">
        <f t="shared" si="77"/>
        <v>83</v>
      </c>
      <c r="L178" s="267">
        <v>0.8</v>
      </c>
      <c r="M178" s="267">
        <f t="shared" si="78"/>
        <v>3.2</v>
      </c>
      <c r="N178" s="266">
        <f t="shared" si="79"/>
        <v>265.60000000000002</v>
      </c>
      <c r="O178" s="278">
        <f t="shared" si="80"/>
        <v>619.04</v>
      </c>
      <c r="P178" s="2"/>
      <c r="Q178" s="243"/>
      <c r="S178" s="243"/>
    </row>
    <row r="179" spans="1:19" s="84" customFormat="1" x14ac:dyDescent="0.25">
      <c r="A179" s="264">
        <v>5</v>
      </c>
      <c r="B179" s="310"/>
      <c r="C179" s="104"/>
      <c r="D179" s="104" t="s">
        <v>1214</v>
      </c>
      <c r="E179" s="124">
        <v>1</v>
      </c>
      <c r="F179" s="344">
        <v>0</v>
      </c>
      <c r="G179" s="271">
        <f t="shared" si="75"/>
        <v>1</v>
      </c>
      <c r="H179" s="343" t="s">
        <v>250</v>
      </c>
      <c r="I179" s="265">
        <v>11.375999999999999</v>
      </c>
      <c r="J179" s="266">
        <f t="shared" si="76"/>
        <v>11.375999999999999</v>
      </c>
      <c r="K179" s="265">
        <f t="shared" si="77"/>
        <v>83</v>
      </c>
      <c r="L179" s="267">
        <v>0.12040000000000001</v>
      </c>
      <c r="M179" s="267">
        <f t="shared" si="78"/>
        <v>0.12040000000000001</v>
      </c>
      <c r="N179" s="266">
        <f t="shared" si="79"/>
        <v>9.9931999999999999</v>
      </c>
      <c r="O179" s="278">
        <f t="shared" si="80"/>
        <v>21.369199999999999</v>
      </c>
      <c r="P179" s="2"/>
      <c r="Q179" s="243"/>
      <c r="S179" s="243"/>
    </row>
    <row r="180" spans="1:19" s="84" customFormat="1" x14ac:dyDescent="0.25">
      <c r="A180" s="264">
        <v>6</v>
      </c>
      <c r="B180" s="310"/>
      <c r="C180" s="104"/>
      <c r="D180" s="104" t="s">
        <v>1215</v>
      </c>
      <c r="E180" s="124">
        <v>6</v>
      </c>
      <c r="F180" s="344">
        <v>0</v>
      </c>
      <c r="G180" s="271">
        <f t="shared" si="75"/>
        <v>6</v>
      </c>
      <c r="H180" s="343" t="s">
        <v>250</v>
      </c>
      <c r="I180" s="265">
        <v>5.5</v>
      </c>
      <c r="J180" s="266">
        <f t="shared" si="76"/>
        <v>33</v>
      </c>
      <c r="K180" s="265">
        <f t="shared" si="77"/>
        <v>83</v>
      </c>
      <c r="L180" s="267">
        <v>0.2</v>
      </c>
      <c r="M180" s="267">
        <f t="shared" si="78"/>
        <v>1.2000000000000002</v>
      </c>
      <c r="N180" s="266">
        <f t="shared" si="79"/>
        <v>99.600000000000009</v>
      </c>
      <c r="O180" s="278">
        <f t="shared" si="80"/>
        <v>132.60000000000002</v>
      </c>
      <c r="P180" s="2"/>
      <c r="Q180" s="243"/>
      <c r="S180" s="243"/>
    </row>
    <row r="181" spans="1:19" s="84" customFormat="1" ht="15.75" thickBot="1" x14ac:dyDescent="0.3">
      <c r="A181" s="94"/>
      <c r="B181" s="126"/>
      <c r="C181" s="126"/>
      <c r="D181" s="114"/>
      <c r="E181" s="188"/>
      <c r="F181" s="345"/>
      <c r="G181" s="346"/>
      <c r="H181" s="346"/>
      <c r="I181" s="347"/>
      <c r="J181" s="348"/>
      <c r="K181" s="347"/>
      <c r="L181" s="349"/>
      <c r="M181" s="349"/>
      <c r="N181" s="266"/>
      <c r="O181" s="350"/>
      <c r="P181" s="263"/>
      <c r="Q181" s="243"/>
      <c r="S181" s="243"/>
    </row>
    <row r="182" spans="1:19" s="3" customFormat="1" ht="16.5" thickBot="1" x14ac:dyDescent="0.3">
      <c r="A182" s="298"/>
      <c r="B182" s="1"/>
      <c r="C182" s="1"/>
      <c r="D182" s="299"/>
      <c r="E182" s="300"/>
      <c r="F182" s="301"/>
      <c r="G182" s="442" t="s">
        <v>12</v>
      </c>
      <c r="H182" s="443"/>
      <c r="I182" s="321">
        <f>SUM(J174:J181)</f>
        <v>2612.136</v>
      </c>
      <c r="J182" s="431" t="s">
        <v>13</v>
      </c>
      <c r="K182" s="432"/>
      <c r="L182" s="303">
        <f>SUM(N174:N181)</f>
        <v>2061.7531999999997</v>
      </c>
      <c r="M182" s="431" t="s">
        <v>43</v>
      </c>
      <c r="N182" s="432"/>
      <c r="O182" s="304">
        <f>SUM(M175:M181)</f>
        <v>24.840399999999999</v>
      </c>
      <c r="P182" s="305">
        <f>SUM(O174:O181)</f>
        <v>4673.8892000000005</v>
      </c>
    </row>
    <row r="183" spans="1:19" ht="15.75" thickBot="1" x14ac:dyDescent="0.3">
      <c r="A183" s="334"/>
      <c r="B183" s="335"/>
      <c r="C183" s="336"/>
      <c r="D183" s="337"/>
      <c r="E183" s="338"/>
      <c r="F183" s="307"/>
      <c r="G183" s="308"/>
      <c r="H183" s="308"/>
      <c r="I183" s="257"/>
      <c r="J183" s="261"/>
      <c r="K183" s="261"/>
      <c r="L183" s="260"/>
      <c r="M183" s="339"/>
      <c r="N183" s="261"/>
      <c r="O183" s="262"/>
      <c r="P183" s="263"/>
    </row>
    <row r="184" spans="1:19" ht="20.100000000000001" customHeight="1" thickBot="1" x14ac:dyDescent="0.3">
      <c r="A184" s="444" t="s">
        <v>1216</v>
      </c>
      <c r="B184" s="445"/>
      <c r="C184" s="445"/>
      <c r="D184" s="445"/>
      <c r="E184" s="445"/>
      <c r="F184" s="445"/>
      <c r="G184" s="445"/>
      <c r="H184" s="445"/>
      <c r="I184" s="445"/>
      <c r="J184" s="445"/>
      <c r="K184" s="445"/>
      <c r="L184" s="445"/>
      <c r="M184" s="446"/>
      <c r="N184" s="447">
        <f>SUM(J5:J183)</f>
        <v>118150.1556960787</v>
      </c>
      <c r="O184" s="448"/>
      <c r="P184" s="246"/>
    </row>
    <row r="185" spans="1:19" ht="20.100000000000001" customHeight="1" thickBot="1" x14ac:dyDescent="0.3">
      <c r="A185" s="444" t="s">
        <v>1217</v>
      </c>
      <c r="B185" s="445"/>
      <c r="C185" s="445"/>
      <c r="D185" s="445"/>
      <c r="E185" s="445"/>
      <c r="F185" s="445"/>
      <c r="G185" s="445"/>
      <c r="H185" s="445"/>
      <c r="I185" s="445"/>
      <c r="J185" s="445"/>
      <c r="K185" s="445"/>
      <c r="L185" s="445"/>
      <c r="M185" s="446"/>
      <c r="N185" s="447">
        <f>SUM(N5:N183)</f>
        <v>74606.49238044201</v>
      </c>
      <c r="O185" s="448"/>
      <c r="P185" s="246"/>
    </row>
    <row r="186" spans="1:19" ht="20.100000000000001" customHeight="1" thickBot="1" x14ac:dyDescent="0.3">
      <c r="A186" s="444" t="s">
        <v>1218</v>
      </c>
      <c r="B186" s="445"/>
      <c r="C186" s="445"/>
      <c r="D186" s="445"/>
      <c r="E186" s="445"/>
      <c r="F186" s="445"/>
      <c r="G186" s="445"/>
      <c r="H186" s="445"/>
      <c r="I186" s="445"/>
      <c r="J186" s="445"/>
      <c r="K186" s="445"/>
      <c r="L186" s="445"/>
      <c r="M186" s="446"/>
      <c r="N186" s="451">
        <f>SUM(M5:M183)</f>
        <v>898.8734021740006</v>
      </c>
      <c r="O186" s="452"/>
      <c r="P186" s="246"/>
    </row>
    <row r="187" spans="1:19" x14ac:dyDescent="0.25">
      <c r="A187" s="351"/>
      <c r="B187"/>
      <c r="D187" s="84"/>
      <c r="I187" s="354"/>
      <c r="K187" s="354"/>
      <c r="L187" s="356"/>
      <c r="M187" s="356"/>
      <c r="N187" s="357"/>
      <c r="O187" s="358"/>
      <c r="P187" s="297"/>
    </row>
    <row r="188" spans="1:19" ht="15.75" thickBot="1" x14ac:dyDescent="0.3">
      <c r="A188" s="351"/>
      <c r="B188"/>
      <c r="I188" s="354"/>
      <c r="K188" s="354"/>
      <c r="L188" s="356"/>
      <c r="M188" s="356"/>
      <c r="N188" s="357"/>
      <c r="O188" s="358"/>
      <c r="P188" s="297"/>
    </row>
    <row r="189" spans="1:19" ht="30" customHeight="1" thickBot="1" x14ac:dyDescent="0.3">
      <c r="A189" s="359"/>
      <c r="B189" s="453" t="s">
        <v>1219</v>
      </c>
      <c r="C189" s="454"/>
      <c r="D189" s="454"/>
      <c r="E189" s="454"/>
      <c r="F189" s="455"/>
      <c r="I189" s="354"/>
      <c r="J189" s="354"/>
      <c r="K189" s="354"/>
      <c r="L189" s="354"/>
      <c r="M189" s="354"/>
      <c r="N189" s="354"/>
      <c r="O189" s="354"/>
      <c r="P189" s="297"/>
    </row>
    <row r="190" spans="1:19" ht="31.5" customHeight="1" thickBot="1" x14ac:dyDescent="0.3">
      <c r="A190" s="360"/>
      <c r="B190" s="361" t="s">
        <v>1220</v>
      </c>
      <c r="C190" s="456" t="s">
        <v>1221</v>
      </c>
      <c r="D190" s="457"/>
      <c r="E190" s="457"/>
      <c r="F190" s="458"/>
      <c r="I190" s="354"/>
      <c r="J190" s="354"/>
      <c r="K190" s="354"/>
      <c r="L190" s="354"/>
      <c r="M190" s="354"/>
      <c r="N190" s="354"/>
      <c r="P190" s="297"/>
      <c r="Q190" s="363"/>
    </row>
    <row r="191" spans="1:19" x14ac:dyDescent="0.25">
      <c r="A191" s="360"/>
      <c r="B191" s="364">
        <v>1</v>
      </c>
      <c r="C191" s="459" t="s">
        <v>1079</v>
      </c>
      <c r="D191" s="460"/>
      <c r="E191" s="460"/>
      <c r="F191" s="461"/>
      <c r="I191" s="354"/>
      <c r="J191" s="354"/>
      <c r="K191" s="354"/>
      <c r="L191" s="354"/>
      <c r="M191" s="354"/>
      <c r="N191" s="354"/>
      <c r="P191" s="297"/>
    </row>
    <row r="192" spans="1:19" x14ac:dyDescent="0.25">
      <c r="A192" s="360"/>
      <c r="B192" s="364">
        <v>2</v>
      </c>
      <c r="C192" s="462" t="s">
        <v>1185</v>
      </c>
      <c r="D192" s="463"/>
      <c r="E192" s="463"/>
      <c r="F192" s="464"/>
      <c r="I192" s="354"/>
      <c r="J192" s="354"/>
      <c r="K192" s="354"/>
      <c r="L192" s="354"/>
      <c r="M192" s="354"/>
      <c r="N192" s="354"/>
      <c r="P192" s="297"/>
    </row>
    <row r="193" spans="1:16" ht="15" customHeight="1" x14ac:dyDescent="0.25">
      <c r="A193" s="360"/>
      <c r="B193" s="364">
        <v>3</v>
      </c>
      <c r="C193" s="465" t="s">
        <v>1222</v>
      </c>
      <c r="D193" s="466"/>
      <c r="E193" s="466"/>
      <c r="F193" s="467"/>
      <c r="I193" s="354"/>
      <c r="J193" s="354"/>
      <c r="K193" s="354"/>
      <c r="L193" s="354"/>
      <c r="M193" s="354"/>
      <c r="N193" s="354"/>
      <c r="P193" s="297"/>
    </row>
    <row r="194" spans="1:16" x14ac:dyDescent="0.25">
      <c r="A194" s="360"/>
      <c r="B194" s="364">
        <v>4</v>
      </c>
      <c r="C194" s="462" t="s">
        <v>1156</v>
      </c>
      <c r="D194" s="463"/>
      <c r="E194" s="463"/>
      <c r="F194" s="464"/>
      <c r="I194" s="354"/>
      <c r="J194" s="354"/>
      <c r="K194" s="354"/>
      <c r="L194" s="354"/>
      <c r="M194" s="354"/>
      <c r="N194" s="354"/>
      <c r="P194" s="297"/>
    </row>
    <row r="195" spans="1:16" x14ac:dyDescent="0.25">
      <c r="A195" s="360"/>
      <c r="B195" s="364">
        <v>5</v>
      </c>
      <c r="C195" s="462" t="s">
        <v>1223</v>
      </c>
      <c r="D195" s="463"/>
      <c r="E195" s="463"/>
      <c r="F195" s="464"/>
      <c r="I195" s="354"/>
      <c r="J195" s="354"/>
      <c r="K195" s="354"/>
      <c r="N195" s="354"/>
      <c r="P195" s="297"/>
    </row>
    <row r="196" spans="1:16" x14ac:dyDescent="0.25">
      <c r="A196" s="360"/>
      <c r="B196" s="364">
        <v>6</v>
      </c>
      <c r="C196" s="468" t="s">
        <v>1224</v>
      </c>
      <c r="D196" s="469"/>
      <c r="E196" s="469"/>
      <c r="F196" s="470"/>
      <c r="I196" s="354"/>
      <c r="J196" s="354"/>
      <c r="K196" s="354"/>
      <c r="N196" s="354"/>
      <c r="P196" s="297"/>
    </row>
    <row r="197" spans="1:16" x14ac:dyDescent="0.25">
      <c r="A197" s="360"/>
      <c r="B197" s="364">
        <v>7</v>
      </c>
      <c r="C197" s="468" t="s">
        <v>1225</v>
      </c>
      <c r="D197" s="469"/>
      <c r="E197" s="469"/>
      <c r="F197" s="470"/>
      <c r="I197" s="354"/>
      <c r="J197" s="354"/>
      <c r="K197" s="354"/>
      <c r="N197" s="354"/>
      <c r="P197" s="297"/>
    </row>
    <row r="198" spans="1:16" ht="15.75" thickBot="1" x14ac:dyDescent="0.3">
      <c r="A198" s="360"/>
      <c r="B198" s="366"/>
      <c r="C198" s="449"/>
      <c r="D198" s="449"/>
      <c r="E198" s="449"/>
      <c r="F198" s="450"/>
      <c r="I198" s="354"/>
      <c r="J198" s="354"/>
      <c r="K198" s="354"/>
      <c r="N198" s="354"/>
      <c r="P198" s="297"/>
    </row>
    <row r="199" spans="1:16" ht="20.100000000000001" customHeight="1" thickBot="1" x14ac:dyDescent="0.3">
      <c r="A199" s="360"/>
      <c r="B199" s="361" t="s">
        <v>1220</v>
      </c>
      <c r="C199" s="456" t="s">
        <v>1226</v>
      </c>
      <c r="D199" s="457"/>
      <c r="E199" s="457"/>
      <c r="F199" s="458"/>
      <c r="I199" s="354"/>
      <c r="J199" s="354"/>
      <c r="K199" s="354"/>
      <c r="N199" s="354"/>
      <c r="P199" s="297"/>
    </row>
    <row r="200" spans="1:16" x14ac:dyDescent="0.25">
      <c r="A200" s="360"/>
      <c r="B200" s="367">
        <v>1</v>
      </c>
      <c r="C200" s="471" t="s">
        <v>1227</v>
      </c>
      <c r="D200" s="460"/>
      <c r="E200" s="460"/>
      <c r="F200" s="461"/>
      <c r="I200" s="354"/>
      <c r="J200" s="354"/>
      <c r="K200" s="354"/>
      <c r="N200" s="354"/>
      <c r="P200" s="297"/>
    </row>
    <row r="201" spans="1:16" x14ac:dyDescent="0.25">
      <c r="A201" s="360"/>
      <c r="B201" s="367">
        <v>2</v>
      </c>
      <c r="C201" s="471" t="s">
        <v>1228</v>
      </c>
      <c r="D201" s="460"/>
      <c r="E201" s="460"/>
      <c r="F201" s="461"/>
      <c r="I201" s="354"/>
      <c r="J201" s="354"/>
      <c r="K201" s="354"/>
      <c r="N201" s="354"/>
      <c r="P201" s="297"/>
    </row>
    <row r="202" spans="1:16" x14ac:dyDescent="0.25">
      <c r="A202" s="360"/>
      <c r="B202" s="367">
        <v>3</v>
      </c>
      <c r="C202" s="471" t="s">
        <v>1229</v>
      </c>
      <c r="D202" s="460"/>
      <c r="E202" s="460"/>
      <c r="F202" s="461"/>
      <c r="I202" s="354"/>
      <c r="J202" s="354"/>
      <c r="K202" s="354"/>
      <c r="N202" s="354"/>
      <c r="P202" s="297"/>
    </row>
    <row r="203" spans="1:16" ht="15.75" thickBot="1" x14ac:dyDescent="0.3">
      <c r="A203" s="360"/>
      <c r="B203" s="368"/>
      <c r="C203" s="449"/>
      <c r="D203" s="449"/>
      <c r="E203" s="449"/>
      <c r="F203" s="450"/>
      <c r="I203" s="354"/>
      <c r="J203" s="354"/>
      <c r="K203" s="354"/>
      <c r="N203" s="354"/>
      <c r="P203" s="297"/>
    </row>
    <row r="204" spans="1:16" ht="20.100000000000001" customHeight="1" thickBot="1" x14ac:dyDescent="0.3">
      <c r="A204" s="360"/>
      <c r="B204" s="361" t="s">
        <v>1220</v>
      </c>
      <c r="C204" s="456" t="s">
        <v>1230</v>
      </c>
      <c r="D204" s="457"/>
      <c r="E204" s="457"/>
      <c r="F204" s="458"/>
      <c r="I204" s="354"/>
      <c r="J204" s="354"/>
      <c r="K204" s="354"/>
      <c r="N204" s="354"/>
      <c r="P204" s="297"/>
    </row>
    <row r="205" spans="1:16" x14ac:dyDescent="0.25">
      <c r="A205" s="360"/>
      <c r="B205" s="367">
        <v>1</v>
      </c>
      <c r="C205" s="471" t="s">
        <v>1231</v>
      </c>
      <c r="D205" s="460"/>
      <c r="E205" s="460"/>
      <c r="F205" s="461"/>
      <c r="I205" s="354"/>
      <c r="J205" s="354"/>
      <c r="K205" s="354"/>
      <c r="N205" s="354"/>
      <c r="P205" s="297"/>
    </row>
    <row r="206" spans="1:16" x14ac:dyDescent="0.25">
      <c r="A206" s="360"/>
      <c r="B206" s="367">
        <v>2</v>
      </c>
      <c r="C206" s="471" t="s">
        <v>1232</v>
      </c>
      <c r="D206" s="460"/>
      <c r="E206" s="460"/>
      <c r="F206" s="461"/>
      <c r="I206" s="354"/>
      <c r="J206" s="354"/>
      <c r="K206" s="354"/>
      <c r="N206" s="354"/>
      <c r="P206" s="297"/>
    </row>
    <row r="207" spans="1:16" x14ac:dyDescent="0.25">
      <c r="A207" s="360"/>
      <c r="B207" s="367">
        <v>3</v>
      </c>
      <c r="C207" s="462" t="s">
        <v>1233</v>
      </c>
      <c r="D207" s="463"/>
      <c r="E207" s="463"/>
      <c r="F207" s="464"/>
      <c r="I207" s="354"/>
      <c r="J207" s="354"/>
      <c r="K207" s="354"/>
      <c r="N207" s="354"/>
      <c r="P207" s="297"/>
    </row>
    <row r="208" spans="1:16" ht="15" customHeight="1" x14ac:dyDescent="0.25">
      <c r="A208" s="360"/>
      <c r="B208" s="367">
        <v>4</v>
      </c>
      <c r="C208" s="468" t="s">
        <v>1234</v>
      </c>
      <c r="D208" s="463"/>
      <c r="E208" s="463"/>
      <c r="F208" s="464"/>
      <c r="I208" s="354"/>
      <c r="J208" s="354"/>
      <c r="K208" s="354"/>
      <c r="N208" s="354"/>
      <c r="P208" s="297"/>
    </row>
    <row r="209" spans="1:16" x14ac:dyDescent="0.25">
      <c r="A209" s="360"/>
      <c r="B209" s="367">
        <v>5</v>
      </c>
      <c r="C209" s="468" t="s">
        <v>1235</v>
      </c>
      <c r="D209" s="463"/>
      <c r="E209" s="463"/>
      <c r="F209" s="464"/>
      <c r="I209" s="354"/>
      <c r="J209" s="354"/>
      <c r="K209" s="354"/>
      <c r="N209" s="354"/>
      <c r="P209" s="297"/>
    </row>
    <row r="210" spans="1:16" ht="15" customHeight="1" x14ac:dyDescent="0.25">
      <c r="A210" s="360"/>
      <c r="B210" s="367">
        <v>6</v>
      </c>
      <c r="C210" s="468" t="s">
        <v>1236</v>
      </c>
      <c r="D210" s="463"/>
      <c r="E210" s="463"/>
      <c r="F210" s="464"/>
      <c r="I210" s="354"/>
      <c r="J210" s="354"/>
      <c r="K210" s="354"/>
      <c r="N210" s="354"/>
      <c r="P210" s="297"/>
    </row>
    <row r="211" spans="1:16" x14ac:dyDescent="0.25">
      <c r="A211" s="360"/>
      <c r="B211" s="367">
        <v>7</v>
      </c>
      <c r="C211" s="468" t="s">
        <v>1237</v>
      </c>
      <c r="D211" s="463"/>
      <c r="E211" s="463"/>
      <c r="F211" s="464"/>
      <c r="I211" s="354"/>
      <c r="J211" s="354"/>
      <c r="K211" s="354"/>
      <c r="N211" s="354"/>
      <c r="P211" s="297"/>
    </row>
    <row r="212" spans="1:16" ht="15" customHeight="1" thickBot="1" x14ac:dyDescent="0.3">
      <c r="A212" s="360"/>
      <c r="B212" s="368"/>
      <c r="C212" s="475"/>
      <c r="D212" s="475"/>
      <c r="E212" s="475"/>
      <c r="F212" s="476"/>
      <c r="I212" s="354"/>
      <c r="J212" s="354"/>
      <c r="K212" s="354"/>
      <c r="N212" s="354"/>
      <c r="P212" s="297"/>
    </row>
    <row r="213" spans="1:16" ht="15" customHeight="1" thickBot="1" x14ac:dyDescent="0.3">
      <c r="A213" s="360"/>
      <c r="B213" s="361" t="s">
        <v>1220</v>
      </c>
      <c r="C213" s="456" t="s">
        <v>797</v>
      </c>
      <c r="D213" s="457"/>
      <c r="E213" s="457"/>
      <c r="F213" s="458"/>
      <c r="I213" s="354"/>
      <c r="J213" s="354"/>
      <c r="K213" s="354"/>
      <c r="N213" s="354"/>
      <c r="P213" s="297"/>
    </row>
    <row r="214" spans="1:16" x14ac:dyDescent="0.25">
      <c r="A214" s="360"/>
      <c r="B214" s="369">
        <v>1</v>
      </c>
      <c r="C214" s="477" t="s">
        <v>1238</v>
      </c>
      <c r="D214" s="478"/>
      <c r="E214" s="478"/>
      <c r="F214" s="479"/>
      <c r="I214" s="354"/>
      <c r="J214" s="354"/>
      <c r="K214" s="354"/>
      <c r="N214" s="354"/>
      <c r="P214" s="297"/>
    </row>
    <row r="215" spans="1:16" x14ac:dyDescent="0.25">
      <c r="A215" s="360"/>
      <c r="B215" s="370">
        <v>2</v>
      </c>
      <c r="C215" s="465" t="s">
        <v>1239</v>
      </c>
      <c r="D215" s="480"/>
      <c r="E215" s="480"/>
      <c r="F215" s="481"/>
      <c r="I215" s="354"/>
      <c r="J215" s="354"/>
      <c r="K215" s="354"/>
      <c r="N215" s="354"/>
      <c r="P215" s="297"/>
    </row>
    <row r="216" spans="1:16" x14ac:dyDescent="0.25">
      <c r="A216" s="360"/>
      <c r="B216" s="370">
        <v>3</v>
      </c>
      <c r="C216" s="465" t="s">
        <v>1240</v>
      </c>
      <c r="D216" s="480"/>
      <c r="E216" s="480"/>
      <c r="F216" s="481"/>
      <c r="I216" s="354"/>
      <c r="J216" s="354"/>
      <c r="K216" s="354"/>
      <c r="N216" s="354"/>
      <c r="P216" s="297"/>
    </row>
    <row r="217" spans="1:16" ht="15.75" thickBot="1" x14ac:dyDescent="0.3">
      <c r="A217" s="360"/>
      <c r="B217" s="371"/>
      <c r="C217" s="472"/>
      <c r="D217" s="473"/>
      <c r="E217" s="473"/>
      <c r="F217" s="474"/>
      <c r="G217" s="372"/>
      <c r="H217" s="372"/>
      <c r="I217" s="354"/>
      <c r="J217" s="354"/>
      <c r="K217" s="354"/>
      <c r="N217" s="354"/>
      <c r="P217" s="297"/>
    </row>
    <row r="218" spans="1:16" x14ac:dyDescent="0.25">
      <c r="A218" s="351"/>
      <c r="D218" s="84"/>
      <c r="I218" s="354"/>
      <c r="K218" s="354"/>
      <c r="L218" s="356"/>
      <c r="M218" s="356"/>
      <c r="N218" s="357"/>
      <c r="O218" s="358"/>
      <c r="P218" s="297"/>
    </row>
    <row r="219" spans="1:16" x14ac:dyDescent="0.25">
      <c r="A219" s="351"/>
      <c r="I219" s="354"/>
      <c r="K219" s="354"/>
      <c r="L219" s="356"/>
      <c r="M219" s="356"/>
      <c r="N219" s="357"/>
      <c r="O219" s="358"/>
      <c r="P219" s="297"/>
    </row>
  </sheetData>
  <mergeCells count="76">
    <mergeCell ref="C217:F217"/>
    <mergeCell ref="C211:F211"/>
    <mergeCell ref="C212:F212"/>
    <mergeCell ref="C213:F213"/>
    <mergeCell ref="C214:F214"/>
    <mergeCell ref="C215:F215"/>
    <mergeCell ref="C216:F216"/>
    <mergeCell ref="C210:F210"/>
    <mergeCell ref="C199:F199"/>
    <mergeCell ref="C200:F200"/>
    <mergeCell ref="C201:F201"/>
    <mergeCell ref="C202:F202"/>
    <mergeCell ref="C203:F203"/>
    <mergeCell ref="C204:F204"/>
    <mergeCell ref="C205:F205"/>
    <mergeCell ref="C206:F206"/>
    <mergeCell ref="C207:F207"/>
    <mergeCell ref="C208:F208"/>
    <mergeCell ref="C209:F209"/>
    <mergeCell ref="C198:F198"/>
    <mergeCell ref="A186:M186"/>
    <mergeCell ref="N186:O186"/>
    <mergeCell ref="B189:F189"/>
    <mergeCell ref="C190:F190"/>
    <mergeCell ref="C191:F191"/>
    <mergeCell ref="C192:F192"/>
    <mergeCell ref="C193:F193"/>
    <mergeCell ref="C194:F194"/>
    <mergeCell ref="C195:F195"/>
    <mergeCell ref="C196:F196"/>
    <mergeCell ref="C197:F197"/>
    <mergeCell ref="A185:M185"/>
    <mergeCell ref="N185:O185"/>
    <mergeCell ref="A156:H156"/>
    <mergeCell ref="A157:D157"/>
    <mergeCell ref="G172:H172"/>
    <mergeCell ref="J172:K172"/>
    <mergeCell ref="M172:N172"/>
    <mergeCell ref="A174:H174"/>
    <mergeCell ref="G182:H182"/>
    <mergeCell ref="J182:K182"/>
    <mergeCell ref="M182:N182"/>
    <mergeCell ref="A184:M184"/>
    <mergeCell ref="N184:O184"/>
    <mergeCell ref="J140:K140"/>
    <mergeCell ref="M140:N140"/>
    <mergeCell ref="A142:H142"/>
    <mergeCell ref="A143:D143"/>
    <mergeCell ref="G154:H154"/>
    <mergeCell ref="J154:K154"/>
    <mergeCell ref="M154:N154"/>
    <mergeCell ref="G140:H140"/>
    <mergeCell ref="A95:H95"/>
    <mergeCell ref="A96:D96"/>
    <mergeCell ref="A102:D102"/>
    <mergeCell ref="A106:D106"/>
    <mergeCell ref="A131:D131"/>
    <mergeCell ref="M93:N93"/>
    <mergeCell ref="A4:H4"/>
    <mergeCell ref="A5:D5"/>
    <mergeCell ref="A40:D40"/>
    <mergeCell ref="A49:D49"/>
    <mergeCell ref="A56:D56"/>
    <mergeCell ref="A61:D61"/>
    <mergeCell ref="A74:D74"/>
    <mergeCell ref="A85:D85"/>
    <mergeCell ref="A90:D90"/>
    <mergeCell ref="G93:H93"/>
    <mergeCell ref="J93:K93"/>
    <mergeCell ref="A1:C1"/>
    <mergeCell ref="D1:K1"/>
    <mergeCell ref="L1:M1"/>
    <mergeCell ref="N1:O1"/>
    <mergeCell ref="A2:E2"/>
    <mergeCell ref="F2:J2"/>
    <mergeCell ref="K2:O2"/>
  </mergeCells>
  <printOptions horizontalCentered="1"/>
  <pageMargins left="0.7" right="0.7" top="0.75" bottom="0.75" header="0.3" footer="0.3"/>
  <pageSetup paperSize="9" scale="4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S w i f t T o k e n s   x m l n s : x s i = " h t t p : / / w w w . w 3 . o r g / 2 0 0 1 / X M L S c h e m a - i n s t a n c e "   x m l n s : x s d = " h t t p : / / w w w . w 3 . o r g / 2 0 0 1 / X M L S c h e m a " > < T o k e n s / > < / S w i f t T o k e n s > 
</file>

<file path=customXml/itemProps1.xml><?xml version="1.0" encoding="utf-8"?>
<ds:datastoreItem xmlns:ds="http://schemas.openxmlformats.org/officeDocument/2006/customXml" ds:itemID="{05943D1F-9F5D-41EC-8F01-C4618981A44A}">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Bid Recap &amp; Summary</vt:lpstr>
      <vt:lpstr>Worksheet</vt:lpstr>
      <vt:lpstr>Electrical</vt:lpstr>
      <vt:lpstr>'Bid Recap &amp; Summary'!Print_Area</vt:lpstr>
      <vt:lpstr>Electrical!Print_Area</vt:lpstr>
      <vt:lpstr>Worksheet!Print_Area</vt:lpstr>
      <vt:lpstr>Electrical!Print_Titles</vt:lpstr>
      <vt:lpstr>Worksheet!Print_Titles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2024-06-29T10:31:08Z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{05943D1F-9F5D-41EC-8F01-C4618981A44A}</vt:lpwstr>
  </property>
</Properties>
</file>